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0" windowWidth="12120" windowHeight="9120" activeTab="0"/>
  </bookViews>
  <sheets>
    <sheet name="Proposta Comercial" sheetId="1" r:id="rId1"/>
    <sheet name="Orientações" sheetId="2" r:id="rId2"/>
  </sheets>
  <definedNames>
    <definedName name="_xlnm.Print_Area" localSheetId="1">'Orientações'!$A$1:$L$67</definedName>
    <definedName name="_xlnm.Print_Area" localSheetId="0">'Proposta Comercial'!$A$1:$H$119</definedName>
  </definedNames>
  <calcPr fullCalcOnLoad="1"/>
</workbook>
</file>

<file path=xl/comments1.xml><?xml version="1.0" encoding="utf-8"?>
<comments xmlns="http://schemas.openxmlformats.org/spreadsheetml/2006/main">
  <authors>
    <author>B32348</author>
    <author>Ricardo Andre Varnier</author>
  </authors>
  <commentList>
    <comment ref="B6" authorId="0">
      <text>
        <r>
          <rPr>
            <b/>
            <sz val="8"/>
            <rFont val="Tahoma"/>
            <family val="2"/>
          </rPr>
          <t>Peso do item I no cálculo do "Preço Ponderado" = 50%.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Peso do subitem I.1 no cálculo do item I = 3.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É o redutor aplicado sobre o “preço unitário mensal” da primeira faixa (em “cascata”) do serviço/produto. Os descontos foram pré-determinados pelo Banrisul a partir da segunda faixa.</t>
        </r>
      </text>
    </comment>
    <comment ref="D7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7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7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7" authorId="0">
      <text>
        <r>
          <rPr>
            <b/>
            <sz val="8"/>
            <rFont val="Tahoma"/>
            <family val="2"/>
          </rPr>
          <t>Trata-se de uma estimativa da quantidade de produto/serviço vigentes no ano.</t>
        </r>
      </text>
    </comment>
    <comment ref="H7" authorId="0">
      <text>
        <r>
          <rPr>
            <b/>
            <sz val="8"/>
            <rFont val="Tahoma"/>
            <family val="2"/>
          </rPr>
          <t xml:space="preserve">É o resultado da multiplicação do "Preço Unitário Anual" pela "Quantidade".
</t>
        </r>
      </text>
    </comment>
    <comment ref="B9" authorId="0">
      <text>
        <r>
          <rPr>
            <b/>
            <sz val="8"/>
            <rFont val="Tahoma"/>
            <family val="2"/>
          </rPr>
          <t>Base referente a agosto de 2009. Há aproximadamente 1,2 (um vírgula dois) cartões por conta.
Obs.: a quantidade de Contas Dormentes é mera estimativa para fins de precificação, em virtude da possível adoção de cartão múltiplo.</t>
        </r>
      </text>
    </comment>
    <comment ref="B23" authorId="0">
      <text>
        <r>
          <rPr>
            <b/>
            <sz val="8"/>
            <rFont val="Tahoma"/>
            <family val="2"/>
          </rPr>
          <t>Estimativas para o primeiro ano de comercialização.</t>
        </r>
      </text>
    </comment>
    <comment ref="B24" authorId="0">
      <text>
        <r>
          <rPr>
            <b/>
            <sz val="8"/>
            <rFont val="Tahoma"/>
            <family val="2"/>
          </rPr>
          <t>A empresa licitante estabelece o "Preço Unitário Mensal" para a primeira faixa. Nas demais faixas, os descontos foram pré-determinados pelo Banrisul.</t>
        </r>
      </text>
    </comment>
    <comment ref="B34" authorId="0">
      <text>
        <r>
          <rPr>
            <b/>
            <sz val="8"/>
            <rFont val="Tahoma"/>
            <family val="2"/>
          </rPr>
          <t>Peso do subitem I.2 no cálculo do item I = 1.</t>
        </r>
      </text>
    </comment>
    <comment ref="D34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34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34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34" authorId="0">
      <text>
        <r>
          <rPr>
            <b/>
            <sz val="8"/>
            <rFont val="Tahoma"/>
            <family val="2"/>
          </rPr>
          <t>Trata-se de uma estimativa da quantidade de produto/serviço vigentes no ano.</t>
        </r>
      </text>
    </comment>
    <comment ref="H34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40" authorId="0">
      <text>
        <r>
          <rPr>
            <b/>
            <sz val="8"/>
            <rFont val="Tahoma"/>
            <family val="2"/>
          </rPr>
          <t>Peso do subitem I.3 no cálculo do item I = 3.</t>
        </r>
      </text>
    </comment>
    <comment ref="D40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40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40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40" authorId="0">
      <text>
        <r>
          <rPr>
            <b/>
            <sz val="8"/>
            <rFont val="Tahoma"/>
            <family val="2"/>
          </rPr>
          <t>Trata-se de uma estimativa da quantidade de produto/serviço vigentes no ano.</t>
        </r>
      </text>
    </comment>
    <comment ref="H40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Estima-se o uso de 01 (um) PA para atendimento por </t>
        </r>
        <r>
          <rPr>
            <b/>
            <i/>
            <sz val="8"/>
            <rFont val="Tahoma"/>
            <family val="2"/>
          </rPr>
          <t>chat</t>
        </r>
        <r>
          <rPr>
            <b/>
            <sz val="8"/>
            <rFont val="Tahoma"/>
            <family val="2"/>
          </rPr>
          <t xml:space="preserve"> a cada 10 (dez) PA's para atendimento telefônico.</t>
        </r>
      </text>
    </comment>
    <comment ref="B43" authorId="0">
      <text>
        <r>
          <rPr>
            <b/>
            <sz val="8"/>
            <rFont val="Tahoma"/>
            <family val="2"/>
          </rPr>
          <t>Estima-se o uso de 01 (um) PA para cada 10.000 (dez mil) contas ativas.</t>
        </r>
      </text>
    </comment>
    <comment ref="B44" authorId="0">
      <text>
        <r>
          <rPr>
            <b/>
            <sz val="8"/>
            <rFont val="Tahoma"/>
            <family val="2"/>
          </rPr>
          <t>Em agosto de 2009, foram realizadas 4,4 (quatro vírgula quatro) operações de compra por conta de cartão de crédito.</t>
        </r>
      </text>
    </comment>
    <comment ref="B46" authorId="0">
      <text>
        <r>
          <rPr>
            <b/>
            <sz val="8"/>
            <rFont val="Tahoma"/>
            <family val="2"/>
          </rPr>
          <t>Peso do subitem I.4 no cálculo do item I = 1.</t>
        </r>
      </text>
    </comment>
    <comment ref="D46" authorId="0">
      <text>
        <r>
          <rPr>
            <b/>
            <sz val="8"/>
            <rFont val="Tahoma"/>
            <family val="2"/>
          </rPr>
          <t>Valor referente ao custo de uma (01) unidade do serviço/produto, nos casos em que estes somente são cobrados quando ocorrem ou são utilizados.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Trata-se de uma estimativa. Por ocorrer uma vez a cada cinco anos, o índice de referência é 0,2
</t>
        </r>
      </text>
    </comment>
    <comment ref="F46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46" authorId="0">
      <text>
        <r>
          <rPr>
            <b/>
            <sz val="8"/>
            <rFont val="Tahoma"/>
            <family val="2"/>
          </rPr>
          <t>Trata-se de uma estimativa da quantidade de produto/serviço vigentes no ano.</t>
        </r>
      </text>
    </comment>
    <comment ref="H46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G49" authorId="0">
      <text>
        <r>
          <rPr>
            <b/>
            <sz val="8"/>
            <rFont val="Tahoma"/>
            <family val="2"/>
          </rPr>
          <t>Não considera as Contas Dormentes.</t>
        </r>
      </text>
    </comment>
    <comment ref="B52" authorId="0">
      <text>
        <r>
          <rPr>
            <b/>
            <sz val="8"/>
            <rFont val="Tahoma"/>
            <family val="2"/>
          </rPr>
          <t>Representa 99% das ocorrências.</t>
        </r>
      </text>
    </comment>
    <comment ref="B53" authorId="0">
      <text>
        <r>
          <rPr>
            <b/>
            <sz val="8"/>
            <rFont val="Tahoma"/>
            <family val="2"/>
          </rPr>
          <t>Representa 1% das ocorrências.</t>
        </r>
      </text>
    </comment>
    <comment ref="B58" authorId="0">
      <text>
        <r>
          <rPr>
            <b/>
            <sz val="8"/>
            <rFont val="Tahoma"/>
            <family val="2"/>
          </rPr>
          <t>Peso do item II no cálculo do "Preço Ponderado" = 10%.</t>
        </r>
      </text>
    </comment>
    <comment ref="B59" authorId="0">
      <text>
        <r>
          <rPr>
            <b/>
            <sz val="8"/>
            <rFont val="Tahoma"/>
            <family val="2"/>
          </rPr>
          <t>Estimativa de que 20% (vinte por cento) das contas ativas entrem em processo de cobrança.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59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59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59" authorId="0">
      <text>
        <r>
          <rPr>
            <b/>
            <sz val="8"/>
            <rFont val="Tahoma"/>
            <family val="2"/>
          </rPr>
          <t>Trata-se de uma estimativa da quantidade de produto/serviço vigentes no ano.</t>
        </r>
      </text>
    </comment>
    <comment ref="H59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61" authorId="0">
      <text>
        <r>
          <rPr>
            <b/>
            <sz val="8"/>
            <rFont val="Tahoma"/>
            <family val="2"/>
          </rPr>
          <t>Estima-se o uso de uma (01) PA para cada grupo de 10.000 (dez mil) contas em processo de cobrança.</t>
        </r>
      </text>
    </comment>
    <comment ref="B62" authorId="0">
      <text>
        <r>
          <rPr>
            <b/>
            <sz val="8"/>
            <rFont val="Tahoma"/>
            <family val="2"/>
          </rPr>
          <t>Estimativa de 02 (duas) mensagens SMS por ano para cada cliente em processo de cobrança.</t>
        </r>
        <r>
          <rPr>
            <sz val="8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8"/>
            <rFont val="Tahoma"/>
            <family val="2"/>
          </rPr>
          <t>Peso do item III no cálculo do "Peso Ponderado" = 15%.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Estimativa de que 13% (treze por cento) das contas ativas e inativas comporão a base de contas do Programa de Relacionamento.</t>
        </r>
      </text>
    </comment>
    <comment ref="C67" authorId="0">
      <text>
        <r>
          <rPr>
            <b/>
            <sz val="8"/>
            <rFont val="Tahoma"/>
            <family val="2"/>
          </rPr>
          <t>É o redutor aplicado sobre o “preço unitário mensal” da primeira faixa (em “cascata”) do serviço/produto. Os descontos foram pré-determinados pelo Banrisul a partir da segunda faixa.</t>
        </r>
      </text>
    </comment>
    <comment ref="D67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67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67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67" authorId="0">
      <text>
        <r>
          <rPr>
            <b/>
            <sz val="8"/>
            <rFont val="Tahoma"/>
            <family val="2"/>
          </rPr>
          <t>Trata-se de uma estimativa da quantidade de produto/serviço vigentes no primeiro ano de sua comercialização.</t>
        </r>
      </text>
    </comment>
    <comment ref="H67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77" authorId="0">
      <text>
        <r>
          <rPr>
            <b/>
            <sz val="8"/>
            <rFont val="Tahoma"/>
            <family val="2"/>
          </rPr>
          <t>Peso do item IV no cálculo do "Peso Ponderado" = 25%.</t>
        </r>
      </text>
    </comment>
    <comment ref="B78" authorId="0">
      <text>
        <r>
          <rPr>
            <b/>
            <sz val="8"/>
            <rFont val="Tahoma"/>
            <family val="2"/>
          </rPr>
          <t>Peso do subitem IV.1 no cálculo do item IV = 3.</t>
        </r>
      </text>
    </comment>
    <comment ref="C78" authorId="0">
      <text>
        <r>
          <rPr>
            <b/>
            <sz val="8"/>
            <rFont val="Tahoma"/>
            <family val="2"/>
          </rPr>
          <t>É o redutor aplicado sobre o “preço unitário mensal” da primeira faixa (em “cascata”) do serviço/produto. Os descontos foram pré-determinados pelo Banrisul a partir da segunda faixa.</t>
        </r>
      </text>
    </comment>
    <comment ref="D78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78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78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78" authorId="0">
      <text>
        <r>
          <rPr>
            <b/>
            <sz val="8"/>
            <rFont val="Tahoma"/>
            <family val="2"/>
          </rPr>
          <t>Trata-se de uma estimativa da quantidade de produto/serviço vigentes no primeiro ano de sua comercialização.</t>
        </r>
      </text>
    </comment>
    <comment ref="H78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80" authorId="0">
      <text>
        <r>
          <rPr>
            <b/>
            <sz val="8"/>
            <rFont val="Tahoma"/>
            <family val="2"/>
          </rPr>
          <t>A empresa licitante estabelece o "Preço Unitário Mensal" para a primeira faixa. Nas demais faixas, os descontos foram pré-determinados pelo Banrisul.</t>
        </r>
      </text>
    </comment>
    <comment ref="G80" authorId="0">
      <text>
        <r>
          <rPr>
            <b/>
            <sz val="8"/>
            <rFont val="Tahoma"/>
            <family val="2"/>
          </rPr>
          <t>Estimativa para o primeiro ano de comercialização.</t>
        </r>
      </text>
    </comment>
    <comment ref="G88" authorId="0">
      <text>
        <r>
          <rPr>
            <b/>
            <sz val="8"/>
            <rFont val="Tahoma"/>
            <family val="2"/>
          </rPr>
          <t>Mesma proporção dos cartões de crédito convencionais: 43% em relação às contas ativas.</t>
        </r>
      </text>
    </comment>
    <comment ref="G89" authorId="0">
      <text>
        <r>
          <rPr>
            <b/>
            <sz val="8"/>
            <rFont val="Tahoma"/>
            <family val="2"/>
          </rPr>
          <t>Mesma proporção dos cartões de crédito convencionais: 2/3 em relação às contas inativas.</t>
        </r>
      </text>
    </comment>
    <comment ref="B91" authorId="0">
      <text>
        <r>
          <rPr>
            <b/>
            <sz val="8"/>
            <rFont val="Tahoma"/>
            <family val="2"/>
          </rPr>
          <t>Peso do subitem IV.2 no cálculo do item IV = 1.</t>
        </r>
      </text>
    </comment>
    <comment ref="D91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91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91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91" authorId="0">
      <text>
        <r>
          <rPr>
            <b/>
            <sz val="8"/>
            <rFont val="Tahoma"/>
            <family val="2"/>
          </rPr>
          <t>Trata-se de uma estimativa da quantidade de produto/serviço vigentes no primeiro ano de sua comercialização.</t>
        </r>
      </text>
    </comment>
    <comment ref="H91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97" authorId="0">
      <text>
        <r>
          <rPr>
            <b/>
            <sz val="8"/>
            <rFont val="Tahoma"/>
            <family val="2"/>
          </rPr>
          <t>Peso do subitem IV.3 no cálculo do item IV = 3.</t>
        </r>
      </text>
    </comment>
    <comment ref="D97" authorId="0">
      <text>
        <r>
          <rPr>
            <b/>
            <sz val="8"/>
            <rFont val="Tahoma"/>
            <family val="2"/>
          </rPr>
          <t>Valor referente ao custo mensal de uma (01) unidade do serviço/produto.</t>
        </r>
      </text>
    </comment>
    <comment ref="E97" authorId="0">
      <text>
        <r>
          <rPr>
            <b/>
            <sz val="8"/>
            <rFont val="Tahoma"/>
            <family val="2"/>
          </rPr>
          <t>Trata-se de uma estimativa.</t>
        </r>
      </text>
    </comment>
    <comment ref="F97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97" authorId="0">
      <text>
        <r>
          <rPr>
            <b/>
            <sz val="8"/>
            <rFont val="Tahoma"/>
            <family val="2"/>
          </rPr>
          <t>Trata-se de uma estimativa da quantidade de produto/serviço vigentes no primeiro ano de sua comercialização.</t>
        </r>
      </text>
    </comment>
    <comment ref="H97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Estima-se o uso de 01 (um) PA para atendimento por </t>
        </r>
        <r>
          <rPr>
            <b/>
            <i/>
            <sz val="8"/>
            <rFont val="Tahoma"/>
            <family val="2"/>
          </rPr>
          <t>chat</t>
        </r>
        <r>
          <rPr>
            <b/>
            <sz val="8"/>
            <rFont val="Tahoma"/>
            <family val="2"/>
          </rPr>
          <t xml:space="preserve"> a cada 10 (dez) PA's para atendimento telefônico.</t>
        </r>
      </text>
    </comment>
    <comment ref="B100" authorId="0">
      <text>
        <r>
          <rPr>
            <b/>
            <sz val="8"/>
            <rFont val="Tahoma"/>
            <family val="2"/>
          </rPr>
          <t>Estima-se o uso de 01 (um) PA para cada 10.000 (dez mil) contas ativas.</t>
        </r>
      </text>
    </comment>
    <comment ref="B101" authorId="0">
      <text>
        <r>
          <rPr>
            <b/>
            <sz val="8"/>
            <rFont val="Tahoma"/>
            <family val="2"/>
          </rPr>
          <t>Previsão de 4,4 (quatro vírgula quatro) operações mensais de compra por conta de cartão de crédito.</t>
        </r>
      </text>
    </comment>
    <comment ref="B103" authorId="0">
      <text>
        <r>
          <rPr>
            <b/>
            <sz val="8"/>
            <rFont val="Tahoma"/>
            <family val="2"/>
          </rPr>
          <t>Peso do subitem IV.4 no cálculo do item IV = 1.</t>
        </r>
        <r>
          <rPr>
            <sz val="8"/>
            <rFont val="Tahoma"/>
            <family val="2"/>
          </rPr>
          <t xml:space="preserve">
</t>
        </r>
      </text>
    </comment>
    <comment ref="D103" authorId="0">
      <text>
        <r>
          <rPr>
            <b/>
            <sz val="8"/>
            <rFont val="Tahoma"/>
            <family val="2"/>
          </rPr>
          <t>Valor referente ao custo de uma (01) unidade do serviço/produto, nos casos em que estes somente são cobrados quando ocorrem ou são utilizados.</t>
        </r>
      </text>
    </comment>
    <comment ref="E103" authorId="0">
      <text>
        <r>
          <rPr>
            <b/>
            <sz val="8"/>
            <rFont val="Tahoma"/>
            <family val="2"/>
          </rPr>
          <t xml:space="preserve">Trata-se de uma estimativa. Por ocorrer uma vez a cada cinco anos, o índice de referência é 0,2
</t>
        </r>
      </text>
    </comment>
    <comment ref="F103" authorId="0">
      <text>
        <r>
          <rPr>
            <b/>
            <sz val="8"/>
            <rFont val="Tahoma"/>
            <family val="2"/>
          </rPr>
          <t>É o valor referente ao custo anual de uma (01) unidade do serviço/produto.
É o resultado da multiplicação do "Preço Unitário Mensal" pela "Quantidade de Ocorrências por Ano".</t>
        </r>
      </text>
    </comment>
    <comment ref="G103" authorId="0">
      <text>
        <r>
          <rPr>
            <b/>
            <sz val="8"/>
            <rFont val="Tahoma"/>
            <family val="2"/>
          </rPr>
          <t>Trata-se de uma estimativa da quantidade de produto/serviço vigentes no primeiro ano de sua comercialização.</t>
        </r>
      </text>
    </comment>
    <comment ref="H103" authorId="0">
      <text>
        <r>
          <rPr>
            <b/>
            <sz val="8"/>
            <rFont val="Tahoma"/>
            <family val="2"/>
          </rPr>
          <t>É o resultado da multiplicação do "Preço Unitário Anual" pela "Quantidade".</t>
        </r>
      </text>
    </comment>
    <comment ref="B109" authorId="0">
      <text>
        <r>
          <rPr>
            <b/>
            <sz val="8"/>
            <rFont val="Tahoma"/>
            <family val="2"/>
          </rPr>
          <t>Representa 99% das ocorrências.</t>
        </r>
      </text>
    </comment>
    <comment ref="B110" authorId="0">
      <text>
        <r>
          <rPr>
            <b/>
            <sz val="8"/>
            <rFont val="Tahoma"/>
            <family val="2"/>
          </rPr>
          <t>Representa 1% das ocorrências.</t>
        </r>
      </text>
    </comment>
    <comment ref="G42" authorId="1">
      <text>
        <r>
          <rPr>
            <b/>
            <sz val="8"/>
            <rFont val="Tahoma"/>
            <family val="0"/>
          </rPr>
          <t>Valor inteiro, sem considerar a fração</t>
        </r>
        <r>
          <rPr>
            <sz val="8"/>
            <rFont val="Tahoma"/>
            <family val="0"/>
          </rPr>
          <t xml:space="preserve">
</t>
        </r>
      </text>
    </comment>
    <comment ref="G43" authorId="1">
      <text>
        <r>
          <rPr>
            <b/>
            <sz val="8"/>
            <rFont val="Tahoma"/>
            <family val="0"/>
          </rPr>
          <t>Valor inteiro, sem considerar a fração</t>
        </r>
      </text>
    </comment>
  </commentList>
</comments>
</file>

<file path=xl/sharedStrings.xml><?xml version="1.0" encoding="utf-8"?>
<sst xmlns="http://schemas.openxmlformats.org/spreadsheetml/2006/main" count="142" uniqueCount="80">
  <si>
    <t>PLANILHA DE PROPOSTA COMERCIAL</t>
  </si>
  <si>
    <t>As células que apresentam um marcador vermelho no canto superior direito contém comentários explicativos.</t>
  </si>
  <si>
    <t>Para visualizá-los, posicione o cursor do mouse sobre a célula desejada.</t>
  </si>
  <si>
    <t>Preços expressos em Real (R$), moeda oficial do Brasil.</t>
  </si>
  <si>
    <t>I - CARTÃO DE CRÉDITO E MÚLTIPLO</t>
  </si>
  <si>
    <t>I.1 - Processamento e Back Office</t>
  </si>
  <si>
    <t>Desconto no Evento</t>
  </si>
  <si>
    <t>Preço Unitário Mensal</t>
  </si>
  <si>
    <t>Quantidade de Ocorrências por Ano</t>
  </si>
  <si>
    <t>Preço Unitário Anual</t>
  </si>
  <si>
    <t>Quantidade</t>
  </si>
  <si>
    <t>Preço Total Anual</t>
  </si>
  <si>
    <t>I.1.a - Pessoa Física</t>
  </si>
  <si>
    <t>De 0 a 100.000 contas ativas</t>
  </si>
  <si>
    <t>de 100.001 a 200.000 contas ativas</t>
  </si>
  <si>
    <t>de 200.001 a 350.000 contas ativas</t>
  </si>
  <si>
    <t>de 350.001 a 500.000 contas ativas</t>
  </si>
  <si>
    <t>de 500.001 a 650.000 contas ativas</t>
  </si>
  <si>
    <t>de 650.001 a 800.000 contas ativas</t>
  </si>
  <si>
    <t>de 800.001 a 1.000.000 contas ativas</t>
  </si>
  <si>
    <t>de 1.000.001 a 1.250.000 contas ativas</t>
  </si>
  <si>
    <t>Acima de 1.250.000 contas ativas</t>
  </si>
  <si>
    <t>Contas Inativas</t>
  </si>
  <si>
    <t>Contas Dormentes</t>
  </si>
  <si>
    <t>I.1.b - Pessoa Jurídica / BNDES</t>
  </si>
  <si>
    <t>De 0 a 15.000 contas ativas</t>
  </si>
  <si>
    <t>De 15.001 a 20.000 contas ativas</t>
  </si>
  <si>
    <t>De 20.001 a 30.000 contas ativas</t>
  </si>
  <si>
    <t>De 30.001 a 45.000 contas ativas</t>
  </si>
  <si>
    <t>Acima de 45.000 contas ativas</t>
  </si>
  <si>
    <t>Subtotal</t>
  </si>
  <si>
    <t>I.2 - Emissão de Faturas e Cartas</t>
  </si>
  <si>
    <t>Impressão de Faturas</t>
  </si>
  <si>
    <t>Impressão de Cartas Autoenvelopadas</t>
  </si>
  <si>
    <t>Postagem Simples</t>
  </si>
  <si>
    <t>I.3 - Central de Atendimento</t>
  </si>
  <si>
    <t>Atendimento por Chat (PA)</t>
  </si>
  <si>
    <t>Atendimento Telefônico (URA + 1 PA a cada 10 mil contas ativas)</t>
  </si>
  <si>
    <t>Envio de SMS</t>
  </si>
  <si>
    <t>I.4 - Cadastramento e Emissão</t>
  </si>
  <si>
    <t>Preço por Ocorrência</t>
  </si>
  <si>
    <t>(*) Por Cartão Embossado</t>
  </si>
  <si>
    <t>Emissão de Cartão Chip</t>
  </si>
  <si>
    <t>Serviço de Embossing</t>
  </si>
  <si>
    <t>Postagem AR SEDEX</t>
  </si>
  <si>
    <t>Postagem Emergencial</t>
  </si>
  <si>
    <t>Subtotal I sem considerar os pesos</t>
  </si>
  <si>
    <t>Subtotal I</t>
  </si>
  <si>
    <t>II - COBRANÇA</t>
  </si>
  <si>
    <t>II.1 - Crédito, Múltiplo e Private Label</t>
  </si>
  <si>
    <t>Central de Cobrança (PA)</t>
  </si>
  <si>
    <t>Subtotal II</t>
  </si>
  <si>
    <t>III - PROGRAMA DE RELACIONAMENTO</t>
  </si>
  <si>
    <t>III.1 - Processamento e Back Office</t>
  </si>
  <si>
    <t>De 0 a 50.000 contas ativas</t>
  </si>
  <si>
    <t>De 50.001 a 100.000 contas ativas</t>
  </si>
  <si>
    <t>De 100.001 a 200.000 contas ativas</t>
  </si>
  <si>
    <t>De 200.001 a 350.000 contas ativas</t>
  </si>
  <si>
    <t>Acima de 350.000 contas ativas</t>
  </si>
  <si>
    <t>Subtotal III</t>
  </si>
  <si>
    <t>IV - PRIVATE LABEL</t>
  </si>
  <si>
    <t>IV.1 - Processamento e BackOffice</t>
  </si>
  <si>
    <t>De 0 a 75.000 contas ativas</t>
  </si>
  <si>
    <t>De 75.001 a 125.000 contas ativas</t>
  </si>
  <si>
    <t>De 125.001 a 180.000 contas ativas</t>
  </si>
  <si>
    <t>De 180.001 a 250.000 contas ativas</t>
  </si>
  <si>
    <t>De 250.001 a 350.000 contas ativas</t>
  </si>
  <si>
    <t>De 350.001 a 500.000 contas ativas</t>
  </si>
  <si>
    <t>Acima de 500.000 contas ativas</t>
  </si>
  <si>
    <t>IV.2 - Emissão de Faturas e Cartas</t>
  </si>
  <si>
    <t>IV.3 - Central de Atendimento</t>
  </si>
  <si>
    <t>IV.4 - Cadastramento e Emissão</t>
  </si>
  <si>
    <t>(*) Por Cartão</t>
  </si>
  <si>
    <t>Subtotal IV sem considerar os pesos</t>
  </si>
  <si>
    <t>Subtotal IV</t>
  </si>
  <si>
    <t>RESULTADO FINAL</t>
  </si>
  <si>
    <t>Preço Ponderado = (Subtotal I x 0,5) + (Subtotal II x 0,1) + (Subtotal III x 0,15) + (Subtotal IV x 0,25)</t>
  </si>
  <si>
    <t>Preço Ponderado</t>
  </si>
  <si>
    <t>Motante do Contrato (três anos)</t>
  </si>
  <si>
    <t>Montante do Crontrato = (Preço Ponderado) x 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</si>
</sst>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b/>
      <sz val="20"/>
      <color indexed="9"/>
      <name val="Tahom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Tahoma"/>
      <family val="2"/>
    </font>
    <font>
      <b/>
      <sz val="12"/>
      <color theme="0"/>
      <name val="Tahoma"/>
      <family val="2"/>
    </font>
    <font>
      <b/>
      <sz val="20"/>
      <color theme="0"/>
      <name val="Tahom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6" tint="0.7999799847602844"/>
        <bgColor theme="0" tint="-0.3499799966812134"/>
      </patternFill>
    </fill>
    <fill>
      <patternFill patternType="solid">
        <fgColor theme="1" tint="0.04998999834060669"/>
        <bgColor indexed="64"/>
      </patternFill>
    </fill>
    <fill>
      <patternFill patternType="lightGray">
        <fgColor theme="2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0" xfId="48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48" applyFont="1" applyBorder="1" applyAlignment="1" applyProtection="1">
      <alignment horizontal="left" vertical="center" wrapText="1"/>
      <protection/>
    </xf>
    <xf numFmtId="0" fontId="5" fillId="33" borderId="10" xfId="48" applyFont="1" applyFill="1" applyBorder="1" applyAlignment="1" applyProtection="1">
      <alignment horizontal="left" vertical="center" wrapText="1"/>
      <protection/>
    </xf>
    <xf numFmtId="0" fontId="6" fillId="34" borderId="11" xfId="48" applyFont="1" applyFill="1" applyBorder="1" applyAlignment="1" applyProtection="1">
      <alignment horizontal="center" vertical="center" wrapText="1"/>
      <protection/>
    </xf>
    <xf numFmtId="0" fontId="6" fillId="33" borderId="11" xfId="48" applyFont="1" applyFill="1" applyBorder="1" applyAlignment="1" applyProtection="1">
      <alignment horizontal="center" vertical="center" wrapText="1"/>
      <protection/>
    </xf>
    <xf numFmtId="0" fontId="6" fillId="34" borderId="12" xfId="48" applyFont="1" applyFill="1" applyBorder="1" applyAlignment="1" applyProtection="1">
      <alignment horizontal="center" vertical="center" wrapText="1"/>
      <protection/>
    </xf>
    <xf numFmtId="0" fontId="7" fillId="0" borderId="13" xfId="48" applyFont="1" applyBorder="1" applyProtection="1">
      <alignment/>
      <protection/>
    </xf>
    <xf numFmtId="0" fontId="2" fillId="0" borderId="0" xfId="48" applyBorder="1" applyProtection="1">
      <alignment/>
      <protection/>
    </xf>
    <xf numFmtId="0" fontId="7" fillId="0" borderId="14" xfId="48" applyFont="1" applyBorder="1" applyProtection="1">
      <alignment/>
      <protection/>
    </xf>
    <xf numFmtId="0" fontId="6" fillId="0" borderId="13" xfId="48" applyFont="1" applyBorder="1" applyProtection="1">
      <alignment/>
      <protection/>
    </xf>
    <xf numFmtId="0" fontId="7" fillId="0" borderId="0" xfId="48" applyFont="1" applyBorder="1" applyProtection="1">
      <alignment/>
      <protection/>
    </xf>
    <xf numFmtId="0" fontId="6" fillId="0" borderId="0" xfId="48" applyFont="1" applyBorder="1" applyProtection="1">
      <alignment/>
      <protection/>
    </xf>
    <xf numFmtId="0" fontId="6" fillId="0" borderId="14" xfId="48" applyFont="1" applyBorder="1" applyProtection="1">
      <alignment/>
      <protection/>
    </xf>
    <xf numFmtId="10" fontId="7" fillId="33" borderId="15" xfId="52" applyNumberFormat="1" applyFont="1" applyFill="1" applyBorder="1" applyAlignment="1" applyProtection="1">
      <alignment/>
      <protection/>
    </xf>
    <xf numFmtId="4" fontId="7" fillId="35" borderId="15" xfId="48" applyNumberFormat="1" applyFont="1" applyFill="1" applyBorder="1" applyProtection="1">
      <alignment/>
      <protection locked="0"/>
    </xf>
    <xf numFmtId="3" fontId="7" fillId="33" borderId="15" xfId="48" applyNumberFormat="1" applyFont="1" applyFill="1" applyBorder="1" applyProtection="1">
      <alignment/>
      <protection/>
    </xf>
    <xf numFmtId="4" fontId="7" fillId="33" borderId="15" xfId="48" applyNumberFormat="1" applyFont="1" applyFill="1" applyBorder="1" applyProtection="1">
      <alignment/>
      <protection/>
    </xf>
    <xf numFmtId="4" fontId="7" fillId="33" borderId="16" xfId="48" applyNumberFormat="1" applyFont="1" applyFill="1" applyBorder="1" applyProtection="1">
      <alignment/>
      <protection/>
    </xf>
    <xf numFmtId="0" fontId="7" fillId="33" borderId="17" xfId="48" applyFont="1" applyFill="1" applyBorder="1" applyAlignment="1" applyProtection="1">
      <alignment horizontal="left" vertical="center" wrapText="1"/>
      <protection/>
    </xf>
    <xf numFmtId="0" fontId="7" fillId="33" borderId="18" xfId="48" applyFont="1" applyFill="1" applyBorder="1" applyAlignment="1" applyProtection="1">
      <alignment vertical="center" wrapText="1"/>
      <protection/>
    </xf>
    <xf numFmtId="3" fontId="7" fillId="33" borderId="18" xfId="49" applyNumberFormat="1" applyFont="1" applyFill="1" applyBorder="1" applyAlignment="1" applyProtection="1">
      <alignment vertical="center" wrapText="1"/>
      <protection/>
    </xf>
    <xf numFmtId="44" fontId="7" fillId="33" borderId="19" xfId="45" applyFont="1" applyFill="1" applyBorder="1" applyAlignment="1" applyProtection="1">
      <alignment vertical="center" wrapText="1"/>
      <protection/>
    </xf>
    <xf numFmtId="0" fontId="7" fillId="0" borderId="10" xfId="48" applyFont="1" applyBorder="1" applyProtection="1">
      <alignment/>
      <protection/>
    </xf>
    <xf numFmtId="0" fontId="2" fillId="0" borderId="11" xfId="48" applyBorder="1" applyProtection="1">
      <alignment/>
      <protection/>
    </xf>
    <xf numFmtId="0" fontId="7" fillId="0" borderId="12" xfId="48" applyFont="1" applyBorder="1" applyProtection="1">
      <alignment/>
      <protection/>
    </xf>
    <xf numFmtId="0" fontId="5" fillId="33" borderId="13" xfId="48" applyFont="1" applyFill="1" applyBorder="1" applyAlignment="1" applyProtection="1">
      <alignment horizontal="left" vertical="center" wrapText="1"/>
      <protection/>
    </xf>
    <xf numFmtId="0" fontId="5" fillId="33" borderId="0" xfId="48" applyFont="1" applyFill="1" applyBorder="1" applyAlignment="1" applyProtection="1">
      <alignment/>
      <protection/>
    </xf>
    <xf numFmtId="0" fontId="6" fillId="34" borderId="0" xfId="48" applyFont="1" applyFill="1" applyBorder="1" applyAlignment="1" applyProtection="1">
      <alignment horizontal="center" vertical="center" wrapText="1"/>
      <protection/>
    </xf>
    <xf numFmtId="0" fontId="6" fillId="33" borderId="0" xfId="48" applyFont="1" applyFill="1" applyBorder="1" applyAlignment="1" applyProtection="1">
      <alignment horizontal="center" vertical="center" wrapText="1"/>
      <protection/>
    </xf>
    <xf numFmtId="0" fontId="6" fillId="34" borderId="14" xfId="48" applyFont="1" applyFill="1" applyBorder="1" applyAlignment="1" applyProtection="1">
      <alignment horizontal="center" vertical="center" wrapText="1"/>
      <protection/>
    </xf>
    <xf numFmtId="3" fontId="7" fillId="33" borderId="15" xfId="0" applyNumberFormat="1" applyFont="1" applyFill="1" applyBorder="1" applyAlignment="1" applyProtection="1">
      <alignment/>
      <protection/>
    </xf>
    <xf numFmtId="164" fontId="7" fillId="33" borderId="15" xfId="48" applyNumberFormat="1" applyFont="1" applyFill="1" applyBorder="1" applyProtection="1">
      <alignment/>
      <protection/>
    </xf>
    <xf numFmtId="0" fontId="6" fillId="33" borderId="17" xfId="48" applyFont="1" applyFill="1" applyBorder="1" applyAlignment="1" applyProtection="1">
      <alignment horizontal="left" vertical="center" wrapText="1"/>
      <protection/>
    </xf>
    <xf numFmtId="0" fontId="6" fillId="33" borderId="18" xfId="48" applyFont="1" applyFill="1" applyBorder="1" applyAlignment="1" applyProtection="1">
      <alignment horizontal="left" vertical="center" wrapText="1"/>
      <protection/>
    </xf>
    <xf numFmtId="4" fontId="6" fillId="33" borderId="18" xfId="48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 applyProtection="1">
      <alignment/>
      <protection/>
    </xf>
    <xf numFmtId="0" fontId="5" fillId="33" borderId="17" xfId="48" applyFont="1" applyFill="1" applyBorder="1" applyAlignment="1" applyProtection="1">
      <alignment horizontal="left" vertical="center" wrapText="1"/>
      <protection/>
    </xf>
    <xf numFmtId="0" fontId="8" fillId="33" borderId="18" xfId="48" applyFont="1" applyFill="1" applyBorder="1" applyAlignment="1" applyProtection="1">
      <alignment horizontal="left" vertical="center" wrapText="1"/>
      <protection/>
    </xf>
    <xf numFmtId="4" fontId="9" fillId="33" borderId="18" xfId="48" applyNumberFormat="1" applyFont="1" applyFill="1" applyBorder="1" applyAlignment="1" applyProtection="1">
      <alignment horizontal="right" vertical="center" wrapText="1"/>
      <protection/>
    </xf>
    <xf numFmtId="0" fontId="5" fillId="33" borderId="10" xfId="48" applyFont="1" applyFill="1" applyBorder="1" applyAlignment="1" applyProtection="1">
      <alignment vertical="center" wrapText="1"/>
      <protection/>
    </xf>
    <xf numFmtId="0" fontId="5" fillId="33" borderId="11" xfId="48" applyFont="1" applyFill="1" applyBorder="1" applyAlignment="1" applyProtection="1">
      <alignment vertical="center" wrapText="1"/>
      <protection/>
    </xf>
    <xf numFmtId="0" fontId="5" fillId="33" borderId="18" xfId="48" applyFont="1" applyFill="1" applyBorder="1" applyAlignment="1" applyProtection="1">
      <alignment horizontal="left" vertical="center" wrapText="1"/>
      <protection/>
    </xf>
    <xf numFmtId="4" fontId="9" fillId="33" borderId="18" xfId="48" applyNumberFormat="1" applyFont="1" applyFill="1" applyBorder="1" applyAlignment="1" applyProtection="1">
      <alignment vertical="center" wrapText="1"/>
      <protection/>
    </xf>
    <xf numFmtId="0" fontId="4" fillId="0" borderId="20" xfId="48" applyFont="1" applyBorder="1" applyAlignment="1" applyProtection="1">
      <alignment vertical="center" wrapText="1"/>
      <protection/>
    </xf>
    <xf numFmtId="0" fontId="5" fillId="33" borderId="10" xfId="48" applyFont="1" applyFill="1" applyBorder="1" applyAlignment="1" applyProtection="1">
      <alignment vertical="center"/>
      <protection/>
    </xf>
    <xf numFmtId="4" fontId="7" fillId="35" borderId="15" xfId="48" applyNumberFormat="1" applyFont="1" applyFill="1" applyBorder="1" applyProtection="1">
      <alignment/>
      <protection/>
    </xf>
    <xf numFmtId="0" fontId="5" fillId="33" borderId="13" xfId="48" applyFont="1" applyFill="1" applyBorder="1" applyAlignment="1" applyProtection="1">
      <alignment horizontal="left" vertical="center"/>
      <protection/>
    </xf>
    <xf numFmtId="0" fontId="5" fillId="33" borderId="0" xfId="48" applyFont="1" applyFill="1" applyBorder="1" applyAlignment="1" applyProtection="1">
      <alignment horizontal="left"/>
      <protection/>
    </xf>
    <xf numFmtId="0" fontId="6" fillId="0" borderId="21" xfId="48" applyFont="1" applyBorder="1" applyProtection="1">
      <alignment/>
      <protection/>
    </xf>
    <xf numFmtId="0" fontId="2" fillId="0" borderId="20" xfId="48" applyBorder="1" applyProtection="1">
      <alignment/>
      <protection/>
    </xf>
    <xf numFmtId="0" fontId="7" fillId="0" borderId="22" xfId="48" applyFont="1" applyBorder="1" applyProtection="1">
      <alignment/>
      <protection/>
    </xf>
    <xf numFmtId="4" fontId="6" fillId="33" borderId="18" xfId="48" applyNumberFormat="1" applyFont="1" applyFill="1" applyBorder="1" applyAlignment="1" applyProtection="1">
      <alignment horizontal="left" vertical="center" wrapText="1"/>
      <protection/>
    </xf>
    <xf numFmtId="43" fontId="6" fillId="33" borderId="18" xfId="56" applyFont="1" applyFill="1" applyBorder="1" applyAlignment="1" applyProtection="1">
      <alignment horizontal="right" vertical="center" wrapText="1"/>
      <protection/>
    </xf>
    <xf numFmtId="4" fontId="5" fillId="33" borderId="18" xfId="48" applyNumberFormat="1" applyFont="1" applyFill="1" applyBorder="1" applyAlignment="1" applyProtection="1">
      <alignment horizontal="left" vertical="center" wrapText="1"/>
      <protection/>
    </xf>
    <xf numFmtId="43" fontId="9" fillId="33" borderId="18" xfId="56" applyFont="1" applyFill="1" applyBorder="1" applyAlignment="1" applyProtection="1">
      <alignment horizontal="right" vertical="center" wrapText="1"/>
      <protection/>
    </xf>
    <xf numFmtId="0" fontId="54" fillId="36" borderId="10" xfId="48" applyFont="1" applyFill="1" applyBorder="1" applyProtection="1">
      <alignment/>
      <protection/>
    </xf>
    <xf numFmtId="0" fontId="7" fillId="36" borderId="11" xfId="48" applyFont="1" applyFill="1" applyBorder="1" applyProtection="1">
      <alignment/>
      <protection/>
    </xf>
    <xf numFmtId="0" fontId="7" fillId="36" borderId="12" xfId="48" applyFont="1" applyFill="1" applyBorder="1" applyProtection="1">
      <alignment/>
      <protection/>
    </xf>
    <xf numFmtId="0" fontId="5" fillId="34" borderId="17" xfId="48" applyFont="1" applyFill="1" applyBorder="1" applyProtection="1">
      <alignment/>
      <protection/>
    </xf>
    <xf numFmtId="0" fontId="5" fillId="34" borderId="18" xfId="48" applyFont="1" applyFill="1" applyBorder="1" applyProtection="1">
      <alignment/>
      <protection/>
    </xf>
    <xf numFmtId="4" fontId="55" fillId="34" borderId="18" xfId="48" applyNumberFormat="1" applyFont="1" applyFill="1" applyBorder="1" applyProtection="1">
      <alignment/>
      <protection/>
    </xf>
    <xf numFmtId="0" fontId="52" fillId="0" borderId="0" xfId="0" applyFont="1" applyAlignment="1" applyProtection="1">
      <alignment/>
      <protection/>
    </xf>
    <xf numFmtId="49" fontId="0" fillId="0" borderId="23" xfId="0" applyNumberFormat="1" applyBorder="1" applyAlignment="1">
      <alignment wrapText="1"/>
    </xf>
    <xf numFmtId="0" fontId="0" fillId="0" borderId="23" xfId="0" applyBorder="1" applyAlignment="1">
      <alignment/>
    </xf>
    <xf numFmtId="0" fontId="7" fillId="37" borderId="13" xfId="48" applyFont="1" applyFill="1" applyBorder="1" applyProtection="1">
      <alignment/>
      <protection/>
    </xf>
    <xf numFmtId="0" fontId="2" fillId="37" borderId="0" xfId="48" applyFill="1" applyBorder="1" applyProtection="1">
      <alignment/>
      <protection/>
    </xf>
    <xf numFmtId="0" fontId="7" fillId="37" borderId="13" xfId="48" applyFont="1" applyFill="1" applyBorder="1" applyAlignment="1" applyProtection="1">
      <alignment horizontal="left"/>
      <protection/>
    </xf>
    <xf numFmtId="0" fontId="7" fillId="37" borderId="24" xfId="48" applyFont="1" applyFill="1" applyBorder="1" applyAlignment="1" applyProtection="1">
      <alignment horizontal="left"/>
      <protection/>
    </xf>
    <xf numFmtId="4" fontId="6" fillId="33" borderId="18" xfId="48" applyNumberFormat="1" applyFont="1" applyFill="1" applyBorder="1" applyAlignment="1" applyProtection="1">
      <alignment horizontal="right" vertical="center" wrapText="1"/>
      <protection/>
    </xf>
    <xf numFmtId="44" fontId="6" fillId="33" borderId="18" xfId="45" applyFont="1" applyFill="1" applyBorder="1" applyAlignment="1" applyProtection="1">
      <alignment horizontal="center" vertical="center" wrapText="1"/>
      <protection/>
    </xf>
    <xf numFmtId="44" fontId="6" fillId="33" borderId="19" xfId="45" applyFont="1" applyFill="1" applyBorder="1" applyAlignment="1" applyProtection="1">
      <alignment horizontal="center" vertical="center" wrapText="1"/>
      <protection/>
    </xf>
    <xf numFmtId="4" fontId="9" fillId="33" borderId="18" xfId="48" applyNumberFormat="1" applyFont="1" applyFill="1" applyBorder="1" applyAlignment="1" applyProtection="1">
      <alignment horizontal="right" vertical="center" wrapText="1"/>
      <protection/>
    </xf>
    <xf numFmtId="44" fontId="8" fillId="33" borderId="18" xfId="45" applyFont="1" applyFill="1" applyBorder="1" applyAlignment="1" applyProtection="1">
      <alignment horizontal="center" vertical="center" wrapText="1"/>
      <protection/>
    </xf>
    <xf numFmtId="44" fontId="8" fillId="33" borderId="19" xfId="45" applyFont="1" applyFill="1" applyBorder="1" applyAlignment="1" applyProtection="1">
      <alignment horizontal="center" vertical="center" wrapText="1"/>
      <protection/>
    </xf>
    <xf numFmtId="44" fontId="5" fillId="34" borderId="18" xfId="45" applyFont="1" applyFill="1" applyBorder="1" applyAlignment="1" applyProtection="1">
      <alignment horizontal="center"/>
      <protection/>
    </xf>
    <xf numFmtId="44" fontId="5" fillId="34" borderId="19" xfId="45" applyFont="1" applyFill="1" applyBorder="1" applyAlignment="1" applyProtection="1">
      <alignment horizontal="center"/>
      <protection/>
    </xf>
    <xf numFmtId="0" fontId="7" fillId="38" borderId="21" xfId="48" applyFont="1" applyFill="1" applyBorder="1" applyAlignment="1" applyProtection="1">
      <alignment horizontal="center" vertical="center" wrapText="1"/>
      <protection/>
    </xf>
    <xf numFmtId="0" fontId="7" fillId="38" borderId="20" xfId="48" applyFont="1" applyFill="1" applyBorder="1" applyAlignment="1" applyProtection="1">
      <alignment horizontal="center" vertical="center"/>
      <protection/>
    </xf>
    <xf numFmtId="0" fontId="7" fillId="38" borderId="22" xfId="48" applyFont="1" applyFill="1" applyBorder="1" applyAlignment="1" applyProtection="1">
      <alignment horizontal="center" vertical="center"/>
      <protection/>
    </xf>
    <xf numFmtId="44" fontId="5" fillId="33" borderId="18" xfId="45" applyFont="1" applyFill="1" applyBorder="1" applyAlignment="1" applyProtection="1">
      <alignment horizontal="right" vertical="center" wrapText="1"/>
      <protection/>
    </xf>
    <xf numFmtId="44" fontId="5" fillId="33" borderId="19" xfId="45" applyFont="1" applyFill="1" applyBorder="1" applyAlignment="1" applyProtection="1">
      <alignment horizontal="right" vertical="center" wrapText="1"/>
      <protection/>
    </xf>
    <xf numFmtId="0" fontId="56" fillId="39" borderId="0" xfId="48" applyFont="1" applyFill="1" applyBorder="1" applyAlignment="1" applyProtection="1">
      <alignment horizontal="center" vertical="center" wrapText="1"/>
      <protection/>
    </xf>
    <xf numFmtId="0" fontId="3" fillId="0" borderId="0" xfId="48" applyFont="1" applyAlignment="1" applyProtection="1">
      <alignment horizontal="center" wrapText="1"/>
      <protection/>
    </xf>
    <xf numFmtId="0" fontId="3" fillId="0" borderId="0" xfId="48" applyFont="1" applyAlignment="1" applyProtection="1">
      <alignment horizontal="center" vertical="top" wrapText="1"/>
      <protection/>
    </xf>
    <xf numFmtId="0" fontId="4" fillId="0" borderId="0" xfId="48" applyFont="1" applyBorder="1" applyAlignment="1" applyProtection="1">
      <alignment horizontal="left" vertical="center" wrapText="1"/>
      <protection/>
    </xf>
    <xf numFmtId="0" fontId="7" fillId="33" borderId="18" xfId="48" applyFont="1" applyFill="1" applyBorder="1" applyAlignment="1" applyProtection="1">
      <alignment horizontal="left" vertical="center" wrapText="1"/>
      <protection/>
    </xf>
    <xf numFmtId="44" fontId="5" fillId="33" borderId="18" xfId="45" applyFont="1" applyFill="1" applyBorder="1" applyAlignment="1" applyProtection="1">
      <alignment horizontal="center" vertical="center" wrapText="1"/>
      <protection/>
    </xf>
    <xf numFmtId="44" fontId="5" fillId="33" borderId="19" xfId="45" applyFont="1" applyFill="1" applyBorder="1" applyAlignment="1" applyProtection="1">
      <alignment horizontal="center" vertical="center" wrapText="1"/>
      <protection/>
    </xf>
    <xf numFmtId="0" fontId="4" fillId="0" borderId="20" xfId="48" applyFont="1" applyBorder="1" applyAlignment="1" applyProtection="1">
      <alignment horizontal="lef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Porcentagem 2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66</xdr:row>
      <xdr:rowOff>57150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0"/>
          <a:ext cx="3648075" cy="1263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Orientações para o preenchimento da Proposta Comercial: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Insira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 campos hachureados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os preços que comporão a Proposta Comercial. Os subtotais e o Preço Ponderado serão automaticamente calculados.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Orientações sobre os itens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compõe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Proposta Comercial: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Desconto no Evento: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o redutor aplicado sobre o “Preço Unitário Mensal” da primeira faixa (em “cascata”) do serviço/produto. Os descontos foram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pré-determinados pelo Banrisul a partir da segunda faixa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Preço Unitário Mensal: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valor referente ao custo mensal de uma (01) unidade do serviço/produto;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Preço por Ocorrência: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valor referente ao custo de uma (01) unidade do serviço/produto, nos casos em que estes somente são cobrados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quando utilizados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Quantidade de Ocorrências por Ano: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trata-se de uma estimativa. Por exemplo, se ocorre uma vez a cada dois anos, a "Quantidade de Ocorrências por Ano" será igual a 0,5 (zero vírgula cinco);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Preço Unitário Anual: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o valor referente ao custo anual de uma (01) unidade do serviço/produto. É o resultado da multiplicação do “Preço Unitário Mensal” pela “Quantidade de Ocorrências por Ano”;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Quantidade: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trata-se de uma estimativa da quantidade de produto/serviço vigentes no ano;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Preço Total Anual: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o resultado da multiplicação do “Preço Unitário Anual” pela “Quantidade”.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– CARTÃO DE CRÉDITO E MÚLTIPLO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"Preço Ponderado": 50% (cinquenta por cento).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I.1 – Processamento e Back Office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empresa licitante estabelece o “Preço Unitário Mensal” por conta de cartão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crédito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primeira faixa da “cascata”. Os descontos para as faixas seguintes foram predeterminados pelo Banrisul e serão aplicados automaticamente. Há aproximadamente 1,2 (um vírgula dois) plásticos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conta.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item: 3 (três).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I.2 – Emissão de Faturas e Cartas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agosto de 2009, aproximadamente 175.000 (cento e setenta e cinco mil) faturas foram impressas. Ainda, foi estimado o envio de 1 (uma) carta extra por ano para cada conta de cartão de crédito.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item: 1 (um).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I.3 – Central de Atendimento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empresa licitante deverá disponibilizar 1 (um) PA a cada 10.000 (dez mil) contas ativas e 1 (um) PA de Chat para cada 10 (dez) PA's de telefone. Obs.: Valor inteiro, sem considerar a fração.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item: 3 (três).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Envio de SMS: estimativa de envio mensal de 4,4 (quatro vírgula quatro) mensagens SMS por conta de cartão de crédito. O envio de SMS não é considerado no cálculo do peso do sub-item I.3.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I.4 – Cadastramento e Emissão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Estimativa de 1 (uma) ocorrência a cada 5 (cinco) anos para cada um dos serviços do item.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item: 1 (um).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6</xdr:col>
      <xdr:colOff>142875</xdr:colOff>
      <xdr:row>0</xdr:row>
      <xdr:rowOff>9525</xdr:rowOff>
    </xdr:from>
    <xdr:to>
      <xdr:col>11</xdr:col>
      <xdr:colOff>847725</xdr:colOff>
      <xdr:row>66</xdr:row>
      <xdr:rowOff>9525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3638550" y="9525"/>
          <a:ext cx="3752850" cy="1258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 – COBRANÇA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"Preço Ponderado": 10% (dez por cento).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II.1 – Crédito, Múltiplo e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Label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Estimativa que 20% (vinte por cento) das contas de cartão de crédito ativas entrem em processo de cobrança. A empresa licitante deverá disponibilizar 1 (uma) PA a cada 10.000 (dez mil) contas em processo de cobrança.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Envio de SMS: estimativa de envio anual de 2 (duas) mensagens SMS por conta em processo de cobrança.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 – PROGRAMA DE RELACIONAMENTO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"Preço Ponderado": 15% (quinze por cento).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III.1 – Processamento e Back Office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Estimativa de que 13% (treze por cento) das contas ativas e inativas comporão a base de contas do Programa de Relacionamento.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empresa licitante estabelece o “Preço Unitário Mensal” para a primeira faixa da “cascata”. Os descontos para as faixas seguintes foram predeterminados pelo Banrisul e serão aplicados automaticamente.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 – PRIVATE LABEL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"Preço Ponderado": 25% (vinte e cinco por cento). As quantidades 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dutos/serviços vigentes no primeiro ano de sua comercialização são estimadas.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IV.1 – Processamento e Back Office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empresa licitante estabelece o “Preço Unitário Mensal” por conta de cartão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label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primeira faixa da “cascata”. Os descontos para as faixas seguintes foram predeterminados pelo Banrisul e serão aplicados automaticamente. Previsão de 1,2 (um vírgula dois) plásticos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conta.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item: 3 (três).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 – Emissão de Faturas e Cartas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Estimativa que 90% (noventa por cento) das contas ativas tenham emissão de fatura. Ainda, foi previsto o envio de 1 (uma) carta extra por ano para cada conta para cada conta de cartão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label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item: 1 (um).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 – Central de Atendimento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empresa licitante deverá disponibilizar 1 (um) PA a cada 10.000 (dez mil) contas ativas, para atuação de forma receptiva.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item: 3 (três).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Envio de SMS: estimativa de envio mensal de 4,4 (quatro vírgula quatro) mensagens SMS por conta de cartão de crédito. O envio de SMS não é considerado no cálculo do peso do subitem IV.3.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IV.4 – Cadastramento e Emissão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Estimativa de 1 (uma) ocorrência a cada 5 (cinco) anos para cada um dos serviços do item.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 no cálculo do item: 1 (um).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9"/>
  <sheetViews>
    <sheetView showGridLines="0" showRowColHeaders="0"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2" customWidth="1"/>
    <col min="2" max="2" width="47.140625" style="2" customWidth="1"/>
    <col min="3" max="3" width="13.140625" style="2" customWidth="1"/>
    <col min="4" max="4" width="16.7109375" style="2" bestFit="1" customWidth="1"/>
    <col min="5" max="5" width="20.28125" style="2" bestFit="1" customWidth="1"/>
    <col min="6" max="6" width="14.8515625" style="2" customWidth="1"/>
    <col min="7" max="7" width="12.421875" style="2" customWidth="1"/>
    <col min="8" max="8" width="19.00390625" style="2" customWidth="1"/>
    <col min="9" max="16384" width="9.140625" style="2" customWidth="1"/>
  </cols>
  <sheetData>
    <row r="1" spans="2:8" ht="15">
      <c r="B1" s="1"/>
      <c r="C1" s="1"/>
      <c r="D1" s="1"/>
      <c r="E1" s="1"/>
      <c r="F1" s="1"/>
      <c r="G1" s="1"/>
      <c r="H1" s="1"/>
    </row>
    <row r="2" spans="2:8" ht="25.5">
      <c r="B2" s="83" t="s">
        <v>0</v>
      </c>
      <c r="C2" s="83"/>
      <c r="D2" s="83"/>
      <c r="E2" s="83"/>
      <c r="F2" s="83"/>
      <c r="G2" s="83"/>
      <c r="H2" s="83"/>
    </row>
    <row r="3" spans="2:8" ht="15">
      <c r="B3" s="84" t="s">
        <v>1</v>
      </c>
      <c r="C3" s="84"/>
      <c r="D3" s="84"/>
      <c r="E3" s="84"/>
      <c r="F3" s="84"/>
      <c r="G3" s="84"/>
      <c r="H3" s="84"/>
    </row>
    <row r="4" spans="2:8" ht="15">
      <c r="B4" s="85" t="s">
        <v>2</v>
      </c>
      <c r="C4" s="85"/>
      <c r="D4" s="85"/>
      <c r="E4" s="85"/>
      <c r="F4" s="85"/>
      <c r="G4" s="85"/>
      <c r="H4" s="85"/>
    </row>
    <row r="5" spans="2:8" ht="15">
      <c r="B5" s="85" t="s">
        <v>3</v>
      </c>
      <c r="C5" s="85"/>
      <c r="D5" s="85"/>
      <c r="E5" s="85"/>
      <c r="F5" s="85"/>
      <c r="G5" s="85"/>
      <c r="H5" s="85"/>
    </row>
    <row r="6" spans="2:8" ht="18.75" thickBot="1">
      <c r="B6" s="86" t="s">
        <v>4</v>
      </c>
      <c r="C6" s="86"/>
      <c r="D6" s="3"/>
      <c r="E6" s="3"/>
      <c r="F6" s="3"/>
      <c r="G6" s="3"/>
      <c r="H6" s="3"/>
    </row>
    <row r="7" spans="2:8" ht="38.25">
      <c r="B7" s="4" t="s">
        <v>5</v>
      </c>
      <c r="C7" s="5" t="s">
        <v>6</v>
      </c>
      <c r="D7" s="5" t="s">
        <v>7</v>
      </c>
      <c r="E7" s="6" t="s">
        <v>8</v>
      </c>
      <c r="F7" s="5" t="s">
        <v>9</v>
      </c>
      <c r="G7" s="5" t="s">
        <v>10</v>
      </c>
      <c r="H7" s="7" t="s">
        <v>11</v>
      </c>
    </row>
    <row r="8" spans="2:8" ht="15">
      <c r="B8" s="8"/>
      <c r="C8" s="9"/>
      <c r="D8" s="9"/>
      <c r="E8" s="9"/>
      <c r="F8" s="9"/>
      <c r="G8" s="9"/>
      <c r="H8" s="10"/>
    </row>
    <row r="9" spans="2:8" ht="15">
      <c r="B9" s="11" t="s">
        <v>12</v>
      </c>
      <c r="C9" s="12"/>
      <c r="D9" s="13"/>
      <c r="E9" s="13"/>
      <c r="F9" s="13"/>
      <c r="G9" s="13"/>
      <c r="H9" s="14"/>
    </row>
    <row r="10" spans="2:8" ht="15">
      <c r="B10" s="8" t="s">
        <v>13</v>
      </c>
      <c r="C10" s="15">
        <v>0</v>
      </c>
      <c r="D10" s="16">
        <v>0</v>
      </c>
      <c r="E10" s="17">
        <v>12</v>
      </c>
      <c r="F10" s="18">
        <f>D10*E10</f>
        <v>0</v>
      </c>
      <c r="G10" s="17">
        <v>100000</v>
      </c>
      <c r="H10" s="19">
        <f>D10*E10*G10</f>
        <v>0</v>
      </c>
    </row>
    <row r="11" spans="2:8" ht="15">
      <c r="B11" s="66" t="s">
        <v>14</v>
      </c>
      <c r="C11" s="15">
        <v>0.1</v>
      </c>
      <c r="D11" s="18">
        <f>(1-C11)*$D$10</f>
        <v>0</v>
      </c>
      <c r="E11" s="17">
        <f>$E$10</f>
        <v>12</v>
      </c>
      <c r="F11" s="18">
        <f aca="true" t="shared" si="0" ref="F11:F21">D11*E11</f>
        <v>0</v>
      </c>
      <c r="G11" s="17">
        <v>75000</v>
      </c>
      <c r="H11" s="19">
        <f aca="true" t="shared" si="1" ref="H11:H18">D11*E11*G11</f>
        <v>0</v>
      </c>
    </row>
    <row r="12" spans="2:8" ht="15">
      <c r="B12" s="8" t="s">
        <v>15</v>
      </c>
      <c r="C12" s="15">
        <v>0.1175</v>
      </c>
      <c r="D12" s="18">
        <f aca="true" t="shared" si="2" ref="D12:D18">(1-C12)*$D$10</f>
        <v>0</v>
      </c>
      <c r="E12" s="17">
        <f aca="true" t="shared" si="3" ref="E12:E21">$E$10</f>
        <v>12</v>
      </c>
      <c r="F12" s="18">
        <f t="shared" si="0"/>
        <v>0</v>
      </c>
      <c r="G12" s="17">
        <v>0</v>
      </c>
      <c r="H12" s="19">
        <f t="shared" si="1"/>
        <v>0</v>
      </c>
    </row>
    <row r="13" spans="2:8" ht="15">
      <c r="B13" s="66" t="s">
        <v>16</v>
      </c>
      <c r="C13" s="15">
        <v>0.135</v>
      </c>
      <c r="D13" s="18">
        <f t="shared" si="2"/>
        <v>0</v>
      </c>
      <c r="E13" s="17">
        <f t="shared" si="3"/>
        <v>12</v>
      </c>
      <c r="F13" s="18">
        <f t="shared" si="0"/>
        <v>0</v>
      </c>
      <c r="G13" s="17">
        <v>0</v>
      </c>
      <c r="H13" s="19">
        <f t="shared" si="1"/>
        <v>0</v>
      </c>
    </row>
    <row r="14" spans="2:8" ht="15">
      <c r="B14" s="8" t="s">
        <v>17</v>
      </c>
      <c r="C14" s="15">
        <v>0.15</v>
      </c>
      <c r="D14" s="18">
        <f t="shared" si="2"/>
        <v>0</v>
      </c>
      <c r="E14" s="17">
        <f t="shared" si="3"/>
        <v>12</v>
      </c>
      <c r="F14" s="18">
        <f t="shared" si="0"/>
        <v>0</v>
      </c>
      <c r="G14" s="17">
        <v>0</v>
      </c>
      <c r="H14" s="19">
        <f t="shared" si="1"/>
        <v>0</v>
      </c>
    </row>
    <row r="15" spans="2:8" ht="15">
      <c r="B15" s="66" t="s">
        <v>18</v>
      </c>
      <c r="C15" s="15">
        <v>0.165</v>
      </c>
      <c r="D15" s="18">
        <f t="shared" si="2"/>
        <v>0</v>
      </c>
      <c r="E15" s="17">
        <f t="shared" si="3"/>
        <v>12</v>
      </c>
      <c r="F15" s="18">
        <f t="shared" si="0"/>
        <v>0</v>
      </c>
      <c r="G15" s="17">
        <v>0</v>
      </c>
      <c r="H15" s="19">
        <f t="shared" si="1"/>
        <v>0</v>
      </c>
    </row>
    <row r="16" spans="2:8" ht="15">
      <c r="B16" s="8" t="s">
        <v>19</v>
      </c>
      <c r="C16" s="15">
        <v>0.18</v>
      </c>
      <c r="D16" s="18">
        <f t="shared" si="2"/>
        <v>0</v>
      </c>
      <c r="E16" s="17">
        <f t="shared" si="3"/>
        <v>12</v>
      </c>
      <c r="F16" s="18">
        <f t="shared" si="0"/>
        <v>0</v>
      </c>
      <c r="G16" s="17">
        <v>0</v>
      </c>
      <c r="H16" s="19">
        <f t="shared" si="1"/>
        <v>0</v>
      </c>
    </row>
    <row r="17" spans="2:8" ht="15">
      <c r="B17" s="66" t="s">
        <v>20</v>
      </c>
      <c r="C17" s="15">
        <v>0.19</v>
      </c>
      <c r="D17" s="18">
        <f t="shared" si="2"/>
        <v>0</v>
      </c>
      <c r="E17" s="17">
        <f t="shared" si="3"/>
        <v>12</v>
      </c>
      <c r="F17" s="18">
        <f t="shared" si="0"/>
        <v>0</v>
      </c>
      <c r="G17" s="17">
        <v>0</v>
      </c>
      <c r="H17" s="19">
        <f t="shared" si="1"/>
        <v>0</v>
      </c>
    </row>
    <row r="18" spans="2:8" ht="15">
      <c r="B18" s="8" t="s">
        <v>21</v>
      </c>
      <c r="C18" s="15">
        <v>0.2</v>
      </c>
      <c r="D18" s="18">
        <f t="shared" si="2"/>
        <v>0</v>
      </c>
      <c r="E18" s="17">
        <f t="shared" si="3"/>
        <v>12</v>
      </c>
      <c r="F18" s="18">
        <f t="shared" si="0"/>
        <v>0</v>
      </c>
      <c r="G18" s="17">
        <v>0</v>
      </c>
      <c r="H18" s="19">
        <f t="shared" si="1"/>
        <v>0</v>
      </c>
    </row>
    <row r="19" spans="2:8" ht="15">
      <c r="B19" s="8"/>
      <c r="C19" s="9"/>
      <c r="D19" s="9"/>
      <c r="E19" s="9"/>
      <c r="F19" s="9"/>
      <c r="G19" s="9"/>
      <c r="H19" s="10"/>
    </row>
    <row r="20" spans="2:8" ht="15">
      <c r="B20" s="11" t="s">
        <v>22</v>
      </c>
      <c r="C20" s="15">
        <v>0.7</v>
      </c>
      <c r="D20" s="18">
        <f>(1-C20)*$D$10</f>
        <v>0</v>
      </c>
      <c r="E20" s="17">
        <f t="shared" si="3"/>
        <v>12</v>
      </c>
      <c r="F20" s="18">
        <f t="shared" si="0"/>
        <v>0</v>
      </c>
      <c r="G20" s="17">
        <v>75000</v>
      </c>
      <c r="H20" s="19">
        <f>D20*E20*G20</f>
        <v>0</v>
      </c>
    </row>
    <row r="21" spans="2:8" ht="15">
      <c r="B21" s="11" t="s">
        <v>23</v>
      </c>
      <c r="C21" s="15">
        <v>0.9</v>
      </c>
      <c r="D21" s="18">
        <f>(1-C21)*$D$10</f>
        <v>0</v>
      </c>
      <c r="E21" s="17">
        <f t="shared" si="3"/>
        <v>12</v>
      </c>
      <c r="F21" s="18">
        <f t="shared" si="0"/>
        <v>0</v>
      </c>
      <c r="G21" s="17">
        <v>50000</v>
      </c>
      <c r="H21" s="19">
        <f>D21*E21*G21</f>
        <v>0</v>
      </c>
    </row>
    <row r="22" spans="2:8" ht="15">
      <c r="B22" s="8"/>
      <c r="C22" s="9"/>
      <c r="D22" s="9"/>
      <c r="E22" s="9"/>
      <c r="F22" s="9"/>
      <c r="G22" s="9"/>
      <c r="H22" s="10"/>
    </row>
    <row r="23" spans="2:8" ht="15">
      <c r="B23" s="11" t="s">
        <v>24</v>
      </c>
      <c r="C23" s="9"/>
      <c r="D23" s="9"/>
      <c r="E23" s="9"/>
      <c r="F23" s="9"/>
      <c r="G23" s="9"/>
      <c r="H23" s="10"/>
    </row>
    <row r="24" spans="2:8" ht="15">
      <c r="B24" s="8" t="s">
        <v>25</v>
      </c>
      <c r="C24" s="15">
        <v>0</v>
      </c>
      <c r="D24" s="16">
        <v>0</v>
      </c>
      <c r="E24" s="17">
        <f>$E$10</f>
        <v>12</v>
      </c>
      <c r="F24" s="18">
        <f>D24*E24</f>
        <v>0</v>
      </c>
      <c r="G24" s="17">
        <v>10000</v>
      </c>
      <c r="H24" s="19">
        <f>D24*E24*G24</f>
        <v>0</v>
      </c>
    </row>
    <row r="25" spans="2:8" ht="15">
      <c r="B25" s="66" t="s">
        <v>26</v>
      </c>
      <c r="C25" s="15">
        <v>0.05</v>
      </c>
      <c r="D25" s="18">
        <f>(1-C25)*$D$24</f>
        <v>0</v>
      </c>
      <c r="E25" s="17">
        <f>$E$10</f>
        <v>12</v>
      </c>
      <c r="F25" s="18">
        <f>D25*E25</f>
        <v>0</v>
      </c>
      <c r="G25" s="17">
        <v>0</v>
      </c>
      <c r="H25" s="19">
        <f>D25*E25*G25</f>
        <v>0</v>
      </c>
    </row>
    <row r="26" spans="2:8" ht="15">
      <c r="B26" s="8" t="s">
        <v>27</v>
      </c>
      <c r="C26" s="15">
        <v>0.0875</v>
      </c>
      <c r="D26" s="18">
        <f>(1-C26)*$D$24</f>
        <v>0</v>
      </c>
      <c r="E26" s="17">
        <f>$E$10</f>
        <v>12</v>
      </c>
      <c r="F26" s="18">
        <f>D26*E26</f>
        <v>0</v>
      </c>
      <c r="G26" s="17">
        <v>0</v>
      </c>
      <c r="H26" s="19">
        <f>D26*E26*G26</f>
        <v>0</v>
      </c>
    </row>
    <row r="27" spans="2:8" ht="15">
      <c r="B27" s="66" t="s">
        <v>28</v>
      </c>
      <c r="C27" s="15">
        <v>0.1475</v>
      </c>
      <c r="D27" s="18">
        <f>(1-C27)*$D$24</f>
        <v>0</v>
      </c>
      <c r="E27" s="17">
        <f>$E$10</f>
        <v>12</v>
      </c>
      <c r="F27" s="18">
        <f>D27*E27</f>
        <v>0</v>
      </c>
      <c r="G27" s="17">
        <v>0</v>
      </c>
      <c r="H27" s="19">
        <f>D27*E27*G27</f>
        <v>0</v>
      </c>
    </row>
    <row r="28" spans="2:8" ht="15">
      <c r="B28" s="8" t="s">
        <v>29</v>
      </c>
      <c r="C28" s="15">
        <v>0.2</v>
      </c>
      <c r="D28" s="18">
        <f>(1-C28)*$D$24</f>
        <v>0</v>
      </c>
      <c r="E28" s="17">
        <f>$E$10</f>
        <v>12</v>
      </c>
      <c r="F28" s="18">
        <f>D28*E28</f>
        <v>0</v>
      </c>
      <c r="G28" s="17">
        <v>0</v>
      </c>
      <c r="H28" s="19">
        <f>D28*E28*G28</f>
        <v>0</v>
      </c>
    </row>
    <row r="29" spans="2:8" ht="15">
      <c r="B29" s="8"/>
      <c r="C29" s="9"/>
      <c r="D29" s="9"/>
      <c r="E29" s="9"/>
      <c r="F29" s="9"/>
      <c r="G29" s="9"/>
      <c r="H29" s="10"/>
    </row>
    <row r="30" spans="2:8" ht="15">
      <c r="B30" s="11" t="s">
        <v>22</v>
      </c>
      <c r="C30" s="15">
        <v>0.7</v>
      </c>
      <c r="D30" s="18">
        <f>(1-C30)*$D$24</f>
        <v>0</v>
      </c>
      <c r="E30" s="17">
        <f>$E$10</f>
        <v>12</v>
      </c>
      <c r="F30" s="18">
        <f>D30*E30</f>
        <v>0</v>
      </c>
      <c r="G30" s="17">
        <v>1000</v>
      </c>
      <c r="H30" s="19">
        <f>D30*E30*G30</f>
        <v>0</v>
      </c>
    </row>
    <row r="31" spans="2:8" ht="15.75" thickBot="1">
      <c r="B31" s="11"/>
      <c r="C31" s="9"/>
      <c r="D31" s="9"/>
      <c r="E31" s="9"/>
      <c r="F31" s="9"/>
      <c r="G31" s="9"/>
      <c r="H31" s="10"/>
    </row>
    <row r="32" spans="2:8" ht="15.75" thickBot="1">
      <c r="B32" s="20" t="s">
        <v>30</v>
      </c>
      <c r="C32" s="87"/>
      <c r="D32" s="87"/>
      <c r="E32" s="21"/>
      <c r="F32" s="21"/>
      <c r="G32" s="22">
        <f>SUM(G10:G18)+SUM(G20:G21)+SUM(G24:G28)+G30</f>
        <v>311000</v>
      </c>
      <c r="H32" s="23">
        <f>SUM(H10:H18)+SUM(H20:H21)+SUM(H24:H28)+H30</f>
        <v>0</v>
      </c>
    </row>
    <row r="33" spans="2:8" ht="15">
      <c r="B33" s="24"/>
      <c r="C33" s="25"/>
      <c r="D33" s="25"/>
      <c r="E33" s="25"/>
      <c r="F33" s="25"/>
      <c r="G33" s="25"/>
      <c r="H33" s="26"/>
    </row>
    <row r="34" spans="2:8" ht="38.25">
      <c r="B34" s="27" t="s">
        <v>31</v>
      </c>
      <c r="C34" s="28"/>
      <c r="D34" s="29" t="s">
        <v>7</v>
      </c>
      <c r="E34" s="30" t="s">
        <v>8</v>
      </c>
      <c r="F34" s="29" t="s">
        <v>9</v>
      </c>
      <c r="G34" s="29" t="s">
        <v>10</v>
      </c>
      <c r="H34" s="31" t="s">
        <v>11</v>
      </c>
    </row>
    <row r="35" spans="2:8" ht="15">
      <c r="B35" s="8"/>
      <c r="C35" s="9"/>
      <c r="D35" s="9"/>
      <c r="E35" s="9"/>
      <c r="F35" s="9"/>
      <c r="G35" s="9"/>
      <c r="H35" s="10"/>
    </row>
    <row r="36" spans="2:8" ht="15">
      <c r="B36" s="8" t="s">
        <v>32</v>
      </c>
      <c r="C36" s="9"/>
      <c r="D36" s="16">
        <v>0</v>
      </c>
      <c r="E36" s="17">
        <v>12</v>
      </c>
      <c r="F36" s="18">
        <f>D36*E36</f>
        <v>0</v>
      </c>
      <c r="G36" s="32">
        <f>SUM(G10:G18)</f>
        <v>175000</v>
      </c>
      <c r="H36" s="19">
        <f>D36*E36*G36</f>
        <v>0</v>
      </c>
    </row>
    <row r="37" spans="2:8" ht="15">
      <c r="B37" s="66" t="s">
        <v>33</v>
      </c>
      <c r="C37" s="67"/>
      <c r="D37" s="16">
        <v>0</v>
      </c>
      <c r="E37" s="17">
        <v>1</v>
      </c>
      <c r="F37" s="18">
        <f>D37*E37</f>
        <v>0</v>
      </c>
      <c r="G37" s="17">
        <f>$G$36</f>
        <v>175000</v>
      </c>
      <c r="H37" s="19">
        <f>D37*E37*G37</f>
        <v>0</v>
      </c>
    </row>
    <row r="38" spans="2:8" ht="15">
      <c r="B38" s="8" t="s">
        <v>34</v>
      </c>
      <c r="C38" s="9"/>
      <c r="D38" s="16">
        <v>0</v>
      </c>
      <c r="E38" s="17">
        <f>SUM(E36:E37)</f>
        <v>13</v>
      </c>
      <c r="F38" s="18">
        <f>D38*E38</f>
        <v>0</v>
      </c>
      <c r="G38" s="17">
        <f>$G$36+SUM(G10:G18)/12</f>
        <v>189583.33333333334</v>
      </c>
      <c r="H38" s="19">
        <f>D38*E38*G38</f>
        <v>0</v>
      </c>
    </row>
    <row r="39" spans="2:8" ht="15">
      <c r="B39" s="8"/>
      <c r="C39" s="9"/>
      <c r="D39" s="9"/>
      <c r="E39" s="9"/>
      <c r="F39" s="9"/>
      <c r="G39" s="9"/>
      <c r="H39" s="10"/>
    </row>
    <row r="40" spans="2:8" ht="38.25">
      <c r="B40" s="27" t="s">
        <v>35</v>
      </c>
      <c r="C40" s="28"/>
      <c r="D40" s="29" t="s">
        <v>7</v>
      </c>
      <c r="E40" s="30" t="s">
        <v>8</v>
      </c>
      <c r="F40" s="29" t="s">
        <v>9</v>
      </c>
      <c r="G40" s="29" t="s">
        <v>10</v>
      </c>
      <c r="H40" s="31" t="s">
        <v>11</v>
      </c>
    </row>
    <row r="41" spans="2:8" ht="15">
      <c r="B41" s="8"/>
      <c r="C41" s="9"/>
      <c r="D41" s="9"/>
      <c r="E41" s="9"/>
      <c r="F41" s="9"/>
      <c r="G41" s="9"/>
      <c r="H41" s="10"/>
    </row>
    <row r="42" spans="2:8" ht="15">
      <c r="B42" s="8" t="s">
        <v>36</v>
      </c>
      <c r="C42" s="9"/>
      <c r="D42" s="16">
        <v>0</v>
      </c>
      <c r="E42" s="17">
        <v>12</v>
      </c>
      <c r="F42" s="18">
        <f>D42*E42</f>
        <v>0</v>
      </c>
      <c r="G42" s="17">
        <f>INT(G43/10)</f>
        <v>1</v>
      </c>
      <c r="H42" s="19">
        <f>D42*E42*G42</f>
        <v>0</v>
      </c>
    </row>
    <row r="43" spans="2:8" ht="15">
      <c r="B43" s="68" t="s">
        <v>37</v>
      </c>
      <c r="C43" s="69"/>
      <c r="D43" s="16">
        <v>0</v>
      </c>
      <c r="E43" s="17">
        <v>12</v>
      </c>
      <c r="F43" s="18">
        <f>D43*E43</f>
        <v>0</v>
      </c>
      <c r="G43" s="17">
        <f>INT(SUM(G10:G18)/10000)</f>
        <v>17</v>
      </c>
      <c r="H43" s="19">
        <f>D43*E43*G43</f>
        <v>0</v>
      </c>
    </row>
    <row r="44" spans="2:8" ht="15">
      <c r="B44" s="8" t="s">
        <v>38</v>
      </c>
      <c r="C44" s="9"/>
      <c r="D44" s="16">
        <v>0</v>
      </c>
      <c r="E44" s="33">
        <f>4.4*12</f>
        <v>52.800000000000004</v>
      </c>
      <c r="F44" s="18">
        <f>D44*E44</f>
        <v>0</v>
      </c>
      <c r="G44" s="17">
        <f>SUM(G10:G18,G24:G28)</f>
        <v>185000</v>
      </c>
      <c r="H44" s="19">
        <f>D44*E44*G44</f>
        <v>0</v>
      </c>
    </row>
    <row r="45" spans="2:8" ht="15">
      <c r="B45" s="8"/>
      <c r="C45" s="9"/>
      <c r="D45" s="9"/>
      <c r="E45" s="9"/>
      <c r="F45" s="9"/>
      <c r="G45" s="9"/>
      <c r="H45" s="10"/>
    </row>
    <row r="46" spans="2:8" ht="38.25">
      <c r="B46" s="27" t="s">
        <v>39</v>
      </c>
      <c r="C46" s="28"/>
      <c r="D46" s="29" t="s">
        <v>40</v>
      </c>
      <c r="E46" s="30" t="s">
        <v>8</v>
      </c>
      <c r="F46" s="29" t="s">
        <v>9</v>
      </c>
      <c r="G46" s="29" t="s">
        <v>10</v>
      </c>
      <c r="H46" s="31" t="s">
        <v>11</v>
      </c>
    </row>
    <row r="47" spans="2:8" ht="15">
      <c r="B47" s="8"/>
      <c r="C47" s="9"/>
      <c r="D47" s="9"/>
      <c r="E47" s="9"/>
      <c r="F47" s="9"/>
      <c r="G47" s="9"/>
      <c r="H47" s="10"/>
    </row>
    <row r="48" spans="2:8" ht="15">
      <c r="B48" s="8" t="s">
        <v>41</v>
      </c>
      <c r="C48" s="9"/>
      <c r="D48" s="9"/>
      <c r="E48" s="9"/>
      <c r="F48" s="9"/>
      <c r="G48" s="9"/>
      <c r="H48" s="10"/>
    </row>
    <row r="49" spans="2:8" ht="15">
      <c r="B49" s="8" t="s">
        <v>42</v>
      </c>
      <c r="C49" s="9"/>
      <c r="D49" s="16">
        <v>0</v>
      </c>
      <c r="E49" s="33">
        <f>1/5</f>
        <v>0.2</v>
      </c>
      <c r="F49" s="18">
        <f>D49*E49</f>
        <v>0</v>
      </c>
      <c r="G49" s="17">
        <f>(SUM(G10:G30)-G21)*1.2</f>
        <v>313200</v>
      </c>
      <c r="H49" s="19">
        <f>D49*E49*G49</f>
        <v>0</v>
      </c>
    </row>
    <row r="50" spans="2:8" ht="15">
      <c r="B50" s="66" t="s">
        <v>43</v>
      </c>
      <c r="C50" s="67"/>
      <c r="D50" s="16">
        <v>0</v>
      </c>
      <c r="E50" s="33">
        <f>$E$49</f>
        <v>0.2</v>
      </c>
      <c r="F50" s="18">
        <f>D50*E50</f>
        <v>0</v>
      </c>
      <c r="G50" s="17">
        <f>$G$49</f>
        <v>313200</v>
      </c>
      <c r="H50" s="19">
        <f>D50*E50*G50</f>
        <v>0</v>
      </c>
    </row>
    <row r="51" spans="2:8" ht="15">
      <c r="B51" s="8" t="s">
        <v>44</v>
      </c>
      <c r="C51" s="9"/>
      <c r="D51" s="16">
        <v>0</v>
      </c>
      <c r="E51" s="33">
        <f>$E$49</f>
        <v>0.2</v>
      </c>
      <c r="F51" s="18">
        <f>D51*E51</f>
        <v>0</v>
      </c>
      <c r="G51" s="17">
        <f>$G$49</f>
        <v>313200</v>
      </c>
      <c r="H51" s="19">
        <f>D51*E51*G51</f>
        <v>0</v>
      </c>
    </row>
    <row r="52" spans="2:8" ht="15">
      <c r="B52" s="66" t="s">
        <v>34</v>
      </c>
      <c r="C52" s="67"/>
      <c r="D52" s="18">
        <f>$D$38</f>
        <v>0</v>
      </c>
      <c r="E52" s="33">
        <f>$E$49</f>
        <v>0.2</v>
      </c>
      <c r="F52" s="18">
        <f>D52*E52</f>
        <v>0</v>
      </c>
      <c r="G52" s="17">
        <f>$G$49*0.99</f>
        <v>310068</v>
      </c>
      <c r="H52" s="19">
        <f>D52*E52*G52</f>
        <v>0</v>
      </c>
    </row>
    <row r="53" spans="2:8" ht="15">
      <c r="B53" s="8" t="s">
        <v>45</v>
      </c>
      <c r="C53" s="9"/>
      <c r="D53" s="16">
        <v>0</v>
      </c>
      <c r="E53" s="33">
        <f>$E$49</f>
        <v>0.2</v>
      </c>
      <c r="F53" s="18">
        <f>D53*E53</f>
        <v>0</v>
      </c>
      <c r="G53" s="17">
        <f>$G$49/100</f>
        <v>3132</v>
      </c>
      <c r="H53" s="19">
        <f>D53*E53*G53</f>
        <v>0</v>
      </c>
    </row>
    <row r="54" spans="2:8" ht="15.75" thickBot="1">
      <c r="B54" s="8"/>
      <c r="C54" s="9"/>
      <c r="D54" s="9"/>
      <c r="E54" s="9"/>
      <c r="F54" s="9"/>
      <c r="G54" s="9"/>
      <c r="H54" s="10"/>
    </row>
    <row r="55" spans="2:8" s="37" customFormat="1" ht="13.5" thickBot="1">
      <c r="B55" s="34" t="s">
        <v>46</v>
      </c>
      <c r="C55" s="35"/>
      <c r="D55" s="70"/>
      <c r="E55" s="70"/>
      <c r="F55" s="36"/>
      <c r="G55" s="71">
        <f>SUM(H10:H18,H20:H21,H24:H28,H30)+SUM(H36:H38)+SUM(H42:H44)+SUM(H49:H53)</f>
        <v>0</v>
      </c>
      <c r="H55" s="72"/>
    </row>
    <row r="56" spans="2:8" ht="15.75" thickBot="1">
      <c r="B56" s="38" t="s">
        <v>47</v>
      </c>
      <c r="C56" s="39"/>
      <c r="D56" s="73"/>
      <c r="E56" s="73"/>
      <c r="F56" s="40"/>
      <c r="G56" s="74">
        <f>SUM(H10:H18,H20:H21,H24:H28,H30)*3+SUM(H36:H38)+SUM(H42:H43)*3+SUM(H49:H53)</f>
        <v>0</v>
      </c>
      <c r="H56" s="75"/>
    </row>
    <row r="57" spans="2:8" ht="15">
      <c r="B57" s="1"/>
      <c r="C57" s="1"/>
      <c r="D57" s="1"/>
      <c r="E57" s="1"/>
      <c r="F57" s="1"/>
      <c r="G57" s="1"/>
      <c r="H57" s="1"/>
    </row>
    <row r="58" spans="2:8" ht="18.75" thickBot="1">
      <c r="B58" s="3" t="s">
        <v>48</v>
      </c>
      <c r="C58" s="3"/>
      <c r="D58" s="3"/>
      <c r="E58" s="3"/>
      <c r="F58" s="3"/>
      <c r="G58" s="3"/>
      <c r="H58" s="3"/>
    </row>
    <row r="59" spans="2:8" ht="38.25">
      <c r="B59" s="41" t="s">
        <v>49</v>
      </c>
      <c r="C59" s="42"/>
      <c r="D59" s="5" t="s">
        <v>7</v>
      </c>
      <c r="E59" s="6" t="s">
        <v>8</v>
      </c>
      <c r="F59" s="5" t="s">
        <v>9</v>
      </c>
      <c r="G59" s="5" t="s">
        <v>10</v>
      </c>
      <c r="H59" s="7" t="s">
        <v>11</v>
      </c>
    </row>
    <row r="60" spans="2:8" ht="15">
      <c r="B60" s="8"/>
      <c r="C60" s="9"/>
      <c r="D60" s="9"/>
      <c r="E60" s="9"/>
      <c r="F60" s="9"/>
      <c r="G60" s="9"/>
      <c r="H60" s="10"/>
    </row>
    <row r="61" spans="2:8" ht="15">
      <c r="B61" s="8" t="s">
        <v>50</v>
      </c>
      <c r="C61" s="9"/>
      <c r="D61" s="16">
        <v>0</v>
      </c>
      <c r="E61" s="17">
        <v>12</v>
      </c>
      <c r="F61" s="18">
        <f>D61*E61</f>
        <v>0</v>
      </c>
      <c r="G61" s="17">
        <v>4</v>
      </c>
      <c r="H61" s="19">
        <f>D61*E61*G61</f>
        <v>0</v>
      </c>
    </row>
    <row r="62" spans="2:8" ht="15">
      <c r="B62" s="8" t="s">
        <v>38</v>
      </c>
      <c r="C62" s="9"/>
      <c r="D62" s="18">
        <f>$D$44</f>
        <v>0</v>
      </c>
      <c r="E62" s="17">
        <v>2</v>
      </c>
      <c r="F62" s="18">
        <f>D62*E62</f>
        <v>0</v>
      </c>
      <c r="G62" s="17">
        <f>SUM($G$10:$G$18)*0.2+SUM($G$24:$G$28)*0.2+SUM($G$80:$G$86)*0.2</f>
        <v>40000</v>
      </c>
      <c r="H62" s="19">
        <f>D62*E62*G62</f>
        <v>0</v>
      </c>
    </row>
    <row r="63" spans="2:8" ht="15.75" thickBot="1">
      <c r="B63" s="8"/>
      <c r="C63" s="9"/>
      <c r="D63" s="9"/>
      <c r="E63" s="9"/>
      <c r="F63" s="9"/>
      <c r="G63" s="9"/>
      <c r="H63" s="10"/>
    </row>
    <row r="64" spans="2:8" ht="15.75" thickBot="1">
      <c r="B64" s="38" t="s">
        <v>51</v>
      </c>
      <c r="C64" s="43"/>
      <c r="D64" s="73"/>
      <c r="E64" s="73"/>
      <c r="F64" s="44"/>
      <c r="G64" s="81">
        <f>SUM(H61:H62)</f>
        <v>0</v>
      </c>
      <c r="H64" s="82"/>
    </row>
    <row r="65" spans="2:8" ht="15">
      <c r="B65" s="1"/>
      <c r="C65" s="1"/>
      <c r="D65" s="1"/>
      <c r="E65" s="1"/>
      <c r="F65" s="1"/>
      <c r="G65" s="1"/>
      <c r="H65" s="1"/>
    </row>
    <row r="66" spans="2:8" ht="18.75" thickBot="1">
      <c r="B66" s="90" t="s">
        <v>52</v>
      </c>
      <c r="C66" s="90"/>
      <c r="D66" s="45"/>
      <c r="E66" s="45"/>
      <c r="F66" s="45"/>
      <c r="G66" s="45"/>
      <c r="H66" s="45"/>
    </row>
    <row r="67" spans="2:8" ht="38.25">
      <c r="B67" s="46" t="s">
        <v>53</v>
      </c>
      <c r="C67" s="5" t="s">
        <v>6</v>
      </c>
      <c r="D67" s="5" t="s">
        <v>7</v>
      </c>
      <c r="E67" s="30" t="s">
        <v>8</v>
      </c>
      <c r="F67" s="5" t="s">
        <v>9</v>
      </c>
      <c r="G67" s="5" t="s">
        <v>10</v>
      </c>
      <c r="H67" s="7" t="s">
        <v>11</v>
      </c>
    </row>
    <row r="68" spans="2:8" ht="15">
      <c r="B68" s="11"/>
      <c r="C68" s="1"/>
      <c r="D68" s="1"/>
      <c r="E68" s="1"/>
      <c r="F68" s="1"/>
      <c r="G68" s="1"/>
      <c r="H68" s="10"/>
    </row>
    <row r="69" spans="2:8" ht="15">
      <c r="B69" s="8" t="s">
        <v>54</v>
      </c>
      <c r="C69" s="15">
        <v>0</v>
      </c>
      <c r="D69" s="16">
        <v>0</v>
      </c>
      <c r="E69" s="17">
        <v>12</v>
      </c>
      <c r="F69" s="18">
        <f>D69*E69</f>
        <v>0</v>
      </c>
      <c r="G69" s="17">
        <f>(SUM(G10:G30)-G21)*0.13</f>
        <v>33930</v>
      </c>
      <c r="H69" s="19">
        <f>D69*E69*G69</f>
        <v>0</v>
      </c>
    </row>
    <row r="70" spans="2:8" ht="15">
      <c r="B70" s="66" t="s">
        <v>55</v>
      </c>
      <c r="C70" s="15">
        <v>0.05</v>
      </c>
      <c r="D70" s="18">
        <f>(1-C70)*$D$69</f>
        <v>0</v>
      </c>
      <c r="E70" s="17">
        <f>$E$69</f>
        <v>12</v>
      </c>
      <c r="F70" s="18">
        <f>D70*E70</f>
        <v>0</v>
      </c>
      <c r="G70" s="17">
        <v>0</v>
      </c>
      <c r="H70" s="19">
        <f>D70*E70*G70</f>
        <v>0</v>
      </c>
    </row>
    <row r="71" spans="2:8" ht="15">
      <c r="B71" s="8" t="s">
        <v>56</v>
      </c>
      <c r="C71" s="15">
        <v>0.2</v>
      </c>
      <c r="D71" s="18">
        <f>(1-C71)*$D$69</f>
        <v>0</v>
      </c>
      <c r="E71" s="17">
        <f>$E$69</f>
        <v>12</v>
      </c>
      <c r="F71" s="18">
        <f>D71*E71</f>
        <v>0</v>
      </c>
      <c r="G71" s="17">
        <v>0</v>
      </c>
      <c r="H71" s="19">
        <f>D71*E71*G71</f>
        <v>0</v>
      </c>
    </row>
    <row r="72" spans="2:8" ht="15">
      <c r="B72" s="66" t="s">
        <v>57</v>
      </c>
      <c r="C72" s="15">
        <v>0.4</v>
      </c>
      <c r="D72" s="18">
        <f>(1-C72)*$D$69</f>
        <v>0</v>
      </c>
      <c r="E72" s="17">
        <f>$E$69</f>
        <v>12</v>
      </c>
      <c r="F72" s="18">
        <f>D72*E72</f>
        <v>0</v>
      </c>
      <c r="G72" s="17">
        <v>0</v>
      </c>
      <c r="H72" s="19">
        <f>D72*E72*G72</f>
        <v>0</v>
      </c>
    </row>
    <row r="73" spans="2:8" ht="15">
      <c r="B73" s="8" t="s">
        <v>58</v>
      </c>
      <c r="C73" s="15">
        <v>0.6</v>
      </c>
      <c r="D73" s="18">
        <f>(1-C73)*$D$69</f>
        <v>0</v>
      </c>
      <c r="E73" s="17">
        <f>$E$69</f>
        <v>12</v>
      </c>
      <c r="F73" s="18">
        <f>D73*E73</f>
        <v>0</v>
      </c>
      <c r="G73" s="17">
        <v>0</v>
      </c>
      <c r="H73" s="19">
        <f>D73*E73*G73</f>
        <v>0</v>
      </c>
    </row>
    <row r="74" spans="2:8" ht="15.75" thickBot="1">
      <c r="B74" s="11"/>
      <c r="C74" s="1"/>
      <c r="D74" s="1"/>
      <c r="E74" s="1"/>
      <c r="F74" s="1"/>
      <c r="G74" s="1"/>
      <c r="H74" s="10"/>
    </row>
    <row r="75" spans="2:8" ht="15.75" thickBot="1">
      <c r="B75" s="38" t="s">
        <v>59</v>
      </c>
      <c r="C75" s="43"/>
      <c r="D75" s="73"/>
      <c r="E75" s="73"/>
      <c r="F75" s="44"/>
      <c r="G75" s="81">
        <f>SUM(H69:H73)</f>
        <v>0</v>
      </c>
      <c r="H75" s="82">
        <f>SUM(H69:H73)</f>
        <v>0</v>
      </c>
    </row>
    <row r="76" spans="2:8" ht="15">
      <c r="B76" s="1"/>
      <c r="C76" s="1"/>
      <c r="D76" s="1"/>
      <c r="E76" s="1"/>
      <c r="F76" s="1"/>
      <c r="G76" s="1"/>
      <c r="H76" s="1"/>
    </row>
    <row r="77" spans="2:8" ht="18.75" thickBot="1">
      <c r="B77" s="3" t="s">
        <v>60</v>
      </c>
      <c r="C77" s="3"/>
      <c r="D77" s="3"/>
      <c r="E77" s="3"/>
      <c r="F77" s="3"/>
      <c r="G77" s="3"/>
      <c r="H77" s="3"/>
    </row>
    <row r="78" spans="2:8" ht="38.25">
      <c r="B78" s="46" t="s">
        <v>61</v>
      </c>
      <c r="C78" s="5" t="s">
        <v>6</v>
      </c>
      <c r="D78" s="5" t="s">
        <v>7</v>
      </c>
      <c r="E78" s="6" t="s">
        <v>8</v>
      </c>
      <c r="F78" s="5" t="s">
        <v>9</v>
      </c>
      <c r="G78" s="5" t="s">
        <v>10</v>
      </c>
      <c r="H78" s="7" t="s">
        <v>11</v>
      </c>
    </row>
    <row r="79" spans="2:8" ht="15">
      <c r="B79" s="11"/>
      <c r="C79" s="9"/>
      <c r="D79" s="9"/>
      <c r="E79" s="9"/>
      <c r="F79" s="9"/>
      <c r="G79" s="9"/>
      <c r="H79" s="10"/>
    </row>
    <row r="80" spans="2:8" ht="15">
      <c r="B80" s="8" t="s">
        <v>62</v>
      </c>
      <c r="C80" s="15">
        <v>0</v>
      </c>
      <c r="D80" s="16">
        <v>0</v>
      </c>
      <c r="E80" s="17">
        <v>12</v>
      </c>
      <c r="F80" s="18">
        <f>D80*E80</f>
        <v>0</v>
      </c>
      <c r="G80" s="17">
        <v>15000</v>
      </c>
      <c r="H80" s="19">
        <f>D80*E80*G80</f>
        <v>0</v>
      </c>
    </row>
    <row r="81" spans="2:8" ht="15">
      <c r="B81" s="66" t="s">
        <v>63</v>
      </c>
      <c r="C81" s="15">
        <v>0.05</v>
      </c>
      <c r="D81" s="18">
        <f aca="true" t="shared" si="4" ref="D81:D89">$D$80*(1-C81)</f>
        <v>0</v>
      </c>
      <c r="E81" s="17">
        <f>$E$80</f>
        <v>12</v>
      </c>
      <c r="F81" s="18">
        <f aca="true" t="shared" si="5" ref="F81:F89">D81*E81</f>
        <v>0</v>
      </c>
      <c r="G81" s="17">
        <v>0</v>
      </c>
      <c r="H81" s="19">
        <f aca="true" t="shared" si="6" ref="H81:H86">D81*E81*G81</f>
        <v>0</v>
      </c>
    </row>
    <row r="82" spans="2:8" ht="15">
      <c r="B82" s="8" t="s">
        <v>64</v>
      </c>
      <c r="C82" s="15">
        <v>0.075</v>
      </c>
      <c r="D82" s="18">
        <f t="shared" si="4"/>
        <v>0</v>
      </c>
      <c r="E82" s="17">
        <f aca="true" t="shared" si="7" ref="E82:E89">$E$80</f>
        <v>12</v>
      </c>
      <c r="F82" s="18">
        <f t="shared" si="5"/>
        <v>0</v>
      </c>
      <c r="G82" s="17">
        <v>0</v>
      </c>
      <c r="H82" s="19">
        <f t="shared" si="6"/>
        <v>0</v>
      </c>
    </row>
    <row r="83" spans="2:8" ht="15">
      <c r="B83" s="66" t="s">
        <v>65</v>
      </c>
      <c r="C83" s="15">
        <v>0.1</v>
      </c>
      <c r="D83" s="18">
        <f t="shared" si="4"/>
        <v>0</v>
      </c>
      <c r="E83" s="17">
        <f t="shared" si="7"/>
        <v>12</v>
      </c>
      <c r="F83" s="18">
        <f t="shared" si="5"/>
        <v>0</v>
      </c>
      <c r="G83" s="17">
        <v>0</v>
      </c>
      <c r="H83" s="19">
        <f t="shared" si="6"/>
        <v>0</v>
      </c>
    </row>
    <row r="84" spans="2:8" ht="15">
      <c r="B84" s="8" t="s">
        <v>66</v>
      </c>
      <c r="C84" s="15">
        <v>0.125</v>
      </c>
      <c r="D84" s="18">
        <f t="shared" si="4"/>
        <v>0</v>
      </c>
      <c r="E84" s="17">
        <f t="shared" si="7"/>
        <v>12</v>
      </c>
      <c r="F84" s="18">
        <f t="shared" si="5"/>
        <v>0</v>
      </c>
      <c r="G84" s="17">
        <v>0</v>
      </c>
      <c r="H84" s="19">
        <f t="shared" si="6"/>
        <v>0</v>
      </c>
    </row>
    <row r="85" spans="2:8" ht="15">
      <c r="B85" s="66" t="s">
        <v>67</v>
      </c>
      <c r="C85" s="15">
        <v>0.15</v>
      </c>
      <c r="D85" s="18">
        <f t="shared" si="4"/>
        <v>0</v>
      </c>
      <c r="E85" s="17">
        <f t="shared" si="7"/>
        <v>12</v>
      </c>
      <c r="F85" s="18">
        <f t="shared" si="5"/>
        <v>0</v>
      </c>
      <c r="G85" s="17">
        <v>0</v>
      </c>
      <c r="H85" s="19">
        <f t="shared" si="6"/>
        <v>0</v>
      </c>
    </row>
    <row r="86" spans="2:8" ht="15">
      <c r="B86" s="8" t="s">
        <v>68</v>
      </c>
      <c r="C86" s="15">
        <v>0.175</v>
      </c>
      <c r="D86" s="18">
        <f t="shared" si="4"/>
        <v>0</v>
      </c>
      <c r="E86" s="17">
        <f t="shared" si="7"/>
        <v>12</v>
      </c>
      <c r="F86" s="18">
        <f t="shared" si="5"/>
        <v>0</v>
      </c>
      <c r="G86" s="17">
        <v>0</v>
      </c>
      <c r="H86" s="19">
        <f t="shared" si="6"/>
        <v>0</v>
      </c>
    </row>
    <row r="87" spans="2:8" ht="15">
      <c r="B87" s="8"/>
      <c r="C87" s="9"/>
      <c r="D87" s="9"/>
      <c r="E87" s="9"/>
      <c r="F87" s="9"/>
      <c r="G87" s="9"/>
      <c r="H87" s="10"/>
    </row>
    <row r="88" spans="2:8" ht="15">
      <c r="B88" s="11" t="s">
        <v>22</v>
      </c>
      <c r="C88" s="15">
        <v>0.7</v>
      </c>
      <c r="D88" s="18">
        <f t="shared" si="4"/>
        <v>0</v>
      </c>
      <c r="E88" s="17">
        <f t="shared" si="7"/>
        <v>12</v>
      </c>
      <c r="F88" s="18">
        <f t="shared" si="5"/>
        <v>0</v>
      </c>
      <c r="G88" s="17">
        <f>SUM(G80:G86)*0.43</f>
        <v>6450</v>
      </c>
      <c r="H88" s="19">
        <f>D88*E88*G88</f>
        <v>0</v>
      </c>
    </row>
    <row r="89" spans="2:8" ht="15">
      <c r="B89" s="11" t="s">
        <v>23</v>
      </c>
      <c r="C89" s="15">
        <v>0.9</v>
      </c>
      <c r="D89" s="18">
        <f t="shared" si="4"/>
        <v>0</v>
      </c>
      <c r="E89" s="17">
        <f t="shared" si="7"/>
        <v>12</v>
      </c>
      <c r="F89" s="18">
        <f t="shared" si="5"/>
        <v>0</v>
      </c>
      <c r="G89" s="17">
        <f>G88*0.666</f>
        <v>4295.7</v>
      </c>
      <c r="H89" s="19">
        <f>D89*E89*G89</f>
        <v>0</v>
      </c>
    </row>
    <row r="90" spans="2:8" ht="15">
      <c r="B90" s="11"/>
      <c r="C90" s="9"/>
      <c r="D90" s="9"/>
      <c r="E90" s="9"/>
      <c r="F90" s="9"/>
      <c r="G90" s="9"/>
      <c r="H90" s="10"/>
    </row>
    <row r="91" spans="2:8" ht="38.25">
      <c r="B91" s="27" t="s">
        <v>69</v>
      </c>
      <c r="C91" s="28"/>
      <c r="D91" s="29" t="s">
        <v>7</v>
      </c>
      <c r="E91" s="30" t="s">
        <v>8</v>
      </c>
      <c r="F91" s="29" t="s">
        <v>9</v>
      </c>
      <c r="G91" s="29" t="s">
        <v>10</v>
      </c>
      <c r="H91" s="31" t="s">
        <v>11</v>
      </c>
    </row>
    <row r="92" spans="2:8" ht="15">
      <c r="B92" s="8"/>
      <c r="C92" s="9"/>
      <c r="D92" s="9"/>
      <c r="E92" s="9"/>
      <c r="F92" s="9"/>
      <c r="G92" s="9"/>
      <c r="H92" s="10"/>
    </row>
    <row r="93" spans="2:8" ht="15">
      <c r="B93" s="8" t="s">
        <v>32</v>
      </c>
      <c r="C93" s="9"/>
      <c r="D93" s="47">
        <v>0</v>
      </c>
      <c r="E93" s="17">
        <v>12</v>
      </c>
      <c r="F93" s="18">
        <f>D93*E93</f>
        <v>0</v>
      </c>
      <c r="G93" s="17">
        <f>SUM($G$80:$G$86)*0.9</f>
        <v>13500</v>
      </c>
      <c r="H93" s="19">
        <f>D93*E93*G93</f>
        <v>0</v>
      </c>
    </row>
    <row r="94" spans="2:8" ht="15">
      <c r="B94" s="66" t="s">
        <v>33</v>
      </c>
      <c r="C94" s="67"/>
      <c r="D94" s="18">
        <f>$D$37</f>
        <v>0</v>
      </c>
      <c r="E94" s="17">
        <v>1</v>
      </c>
      <c r="F94" s="18">
        <f>D94*E94</f>
        <v>0</v>
      </c>
      <c r="G94" s="17">
        <f>SUM($G$80:$G$86)</f>
        <v>15000</v>
      </c>
      <c r="H94" s="19">
        <f>D94*E94*G94</f>
        <v>0</v>
      </c>
    </row>
    <row r="95" spans="2:8" ht="15">
      <c r="B95" s="8" t="s">
        <v>34</v>
      </c>
      <c r="C95" s="9"/>
      <c r="D95" s="18">
        <f>$D$38</f>
        <v>0</v>
      </c>
      <c r="E95" s="17">
        <f>E93+E94</f>
        <v>13</v>
      </c>
      <c r="F95" s="18">
        <f>D95*E95</f>
        <v>0</v>
      </c>
      <c r="G95" s="17">
        <f>SUM($G$80:$G$86)*0.9+SUM(G80:G86)/12</f>
        <v>14750</v>
      </c>
      <c r="H95" s="19">
        <f>D95*E95*G95</f>
        <v>0</v>
      </c>
    </row>
    <row r="96" spans="2:8" ht="15">
      <c r="B96" s="8"/>
      <c r="C96" s="9"/>
      <c r="D96" s="9"/>
      <c r="E96" s="9"/>
      <c r="F96" s="9"/>
      <c r="G96" s="9"/>
      <c r="H96" s="10"/>
    </row>
    <row r="97" spans="2:8" ht="38.25">
      <c r="B97" s="27" t="s">
        <v>70</v>
      </c>
      <c r="C97" s="28"/>
      <c r="D97" s="29" t="s">
        <v>7</v>
      </c>
      <c r="E97" s="30" t="s">
        <v>8</v>
      </c>
      <c r="F97" s="29" t="s">
        <v>9</v>
      </c>
      <c r="G97" s="29" t="s">
        <v>10</v>
      </c>
      <c r="H97" s="31" t="s">
        <v>11</v>
      </c>
    </row>
    <row r="98" spans="2:8" ht="15">
      <c r="B98" s="8"/>
      <c r="C98" s="9"/>
      <c r="D98" s="9"/>
      <c r="E98" s="9"/>
      <c r="F98" s="9"/>
      <c r="G98" s="9"/>
      <c r="H98" s="10"/>
    </row>
    <row r="99" spans="2:8" ht="15">
      <c r="B99" s="8" t="s">
        <v>36</v>
      </c>
      <c r="C99" s="9"/>
      <c r="D99" s="33">
        <f>$D$42</f>
        <v>0</v>
      </c>
      <c r="E99" s="17">
        <v>12</v>
      </c>
      <c r="F99" s="18">
        <f>D99*E99</f>
        <v>0</v>
      </c>
      <c r="G99" s="17">
        <f>IF((G100/10)&lt;1,1)</f>
        <v>1</v>
      </c>
      <c r="H99" s="19">
        <f>D99*E99*G99</f>
        <v>0</v>
      </c>
    </row>
    <row r="100" spans="2:8" ht="15">
      <c r="B100" s="68" t="s">
        <v>37</v>
      </c>
      <c r="C100" s="69"/>
      <c r="D100" s="16">
        <v>0</v>
      </c>
      <c r="E100" s="17">
        <v>12</v>
      </c>
      <c r="F100" s="18">
        <f>D100*E100</f>
        <v>0</v>
      </c>
      <c r="G100" s="17">
        <f>SUM($G$80:$G$86)/10000</f>
        <v>1.5</v>
      </c>
      <c r="H100" s="19">
        <f>D100*E100*G100</f>
        <v>0</v>
      </c>
    </row>
    <row r="101" spans="2:8" ht="15">
      <c r="B101" s="8" t="s">
        <v>38</v>
      </c>
      <c r="C101" s="9"/>
      <c r="D101" s="33">
        <f>$D$44</f>
        <v>0</v>
      </c>
      <c r="E101" s="33">
        <f>4.4*12</f>
        <v>52.800000000000004</v>
      </c>
      <c r="F101" s="18">
        <f>D101*E101</f>
        <v>0</v>
      </c>
      <c r="G101" s="17">
        <f>SUM($G$80:$G$86)</f>
        <v>15000</v>
      </c>
      <c r="H101" s="19">
        <f>D101*E101*G101</f>
        <v>0</v>
      </c>
    </row>
    <row r="102" spans="2:8" ht="15">
      <c r="B102" s="8"/>
      <c r="C102" s="9"/>
      <c r="D102" s="9"/>
      <c r="E102" s="9"/>
      <c r="F102" s="9"/>
      <c r="G102" s="9"/>
      <c r="H102" s="10"/>
    </row>
    <row r="103" spans="2:8" ht="38.25">
      <c r="B103" s="48" t="s">
        <v>71</v>
      </c>
      <c r="C103" s="49"/>
      <c r="D103" s="29" t="s">
        <v>40</v>
      </c>
      <c r="E103" s="30" t="s">
        <v>8</v>
      </c>
      <c r="F103" s="29" t="s">
        <v>9</v>
      </c>
      <c r="G103" s="29" t="s">
        <v>10</v>
      </c>
      <c r="H103" s="31" t="s">
        <v>11</v>
      </c>
    </row>
    <row r="104" spans="2:8" ht="15">
      <c r="B104" s="8"/>
      <c r="C104" s="9"/>
      <c r="D104" s="9"/>
      <c r="E104" s="9"/>
      <c r="F104" s="9"/>
      <c r="G104" s="9"/>
      <c r="H104" s="10"/>
    </row>
    <row r="105" spans="2:8" ht="15">
      <c r="B105" s="8" t="s">
        <v>72</v>
      </c>
      <c r="C105" s="9"/>
      <c r="D105" s="9"/>
      <c r="E105" s="9"/>
      <c r="F105" s="9"/>
      <c r="G105" s="9"/>
      <c r="H105" s="10"/>
    </row>
    <row r="106" spans="2:8" ht="15">
      <c r="B106" s="8" t="s">
        <v>42</v>
      </c>
      <c r="C106" s="9"/>
      <c r="D106" s="18">
        <f>$D$49</f>
        <v>0</v>
      </c>
      <c r="E106" s="18">
        <f>1/5</f>
        <v>0.2</v>
      </c>
      <c r="F106" s="18">
        <f>D106*E106</f>
        <v>0</v>
      </c>
      <c r="G106" s="17">
        <f>SUM($G$80:$G$89)</f>
        <v>25745.7</v>
      </c>
      <c r="H106" s="19">
        <f>D106*E106*G106</f>
        <v>0</v>
      </c>
    </row>
    <row r="107" spans="2:8" ht="15">
      <c r="B107" s="66" t="s">
        <v>43</v>
      </c>
      <c r="C107" s="67"/>
      <c r="D107" s="18">
        <f>$D$50</f>
        <v>0</v>
      </c>
      <c r="E107" s="18">
        <f>$E$106</f>
        <v>0.2</v>
      </c>
      <c r="F107" s="18">
        <f>D107*E107</f>
        <v>0</v>
      </c>
      <c r="G107" s="17">
        <f>SUM($G$80:$G$89)</f>
        <v>25745.7</v>
      </c>
      <c r="H107" s="19">
        <f>D107*E107*G107</f>
        <v>0</v>
      </c>
    </row>
    <row r="108" spans="2:8" ht="15">
      <c r="B108" s="8" t="s">
        <v>44</v>
      </c>
      <c r="C108" s="9"/>
      <c r="D108" s="18">
        <f>$D$51</f>
        <v>0</v>
      </c>
      <c r="E108" s="18">
        <f>$E$106</f>
        <v>0.2</v>
      </c>
      <c r="F108" s="18">
        <f>D108*E108</f>
        <v>0</v>
      </c>
      <c r="G108" s="17">
        <f>SUM($G$80:$G$89)</f>
        <v>25745.7</v>
      </c>
      <c r="H108" s="19">
        <f>D108*E108*G108</f>
        <v>0</v>
      </c>
    </row>
    <row r="109" spans="2:8" ht="15">
      <c r="B109" s="66" t="s">
        <v>34</v>
      </c>
      <c r="C109" s="67"/>
      <c r="D109" s="18">
        <f>$D$38</f>
        <v>0</v>
      </c>
      <c r="E109" s="18">
        <f>$E$106</f>
        <v>0.2</v>
      </c>
      <c r="F109" s="18">
        <f>D109*E109</f>
        <v>0</v>
      </c>
      <c r="G109" s="17">
        <f>SUM($G$80:$G$89)*0.99</f>
        <v>25488.243000000002</v>
      </c>
      <c r="H109" s="19">
        <f>D109*E109*G109</f>
        <v>0</v>
      </c>
    </row>
    <row r="110" spans="2:8" ht="15">
      <c r="B110" s="8" t="s">
        <v>45</v>
      </c>
      <c r="C110" s="9"/>
      <c r="D110" s="18">
        <f>$D$53</f>
        <v>0</v>
      </c>
      <c r="E110" s="18">
        <f>$E$106</f>
        <v>0.2</v>
      </c>
      <c r="F110" s="18">
        <f>D110*E110</f>
        <v>0</v>
      </c>
      <c r="G110" s="17">
        <f>SUM($G$80:$G$89)/100</f>
        <v>257.457</v>
      </c>
      <c r="H110" s="19">
        <f>D110*E110*G110</f>
        <v>0</v>
      </c>
    </row>
    <row r="111" spans="2:8" ht="15.75" thickBot="1">
      <c r="B111" s="50"/>
      <c r="C111" s="51"/>
      <c r="D111" s="51"/>
      <c r="E111" s="51"/>
      <c r="F111" s="51"/>
      <c r="G111" s="51"/>
      <c r="H111" s="52"/>
    </row>
    <row r="112" spans="2:8" ht="15.75" thickBot="1">
      <c r="B112" s="34" t="s">
        <v>73</v>
      </c>
      <c r="C112" s="53"/>
      <c r="D112" s="70"/>
      <c r="E112" s="70"/>
      <c r="F112" s="54"/>
      <c r="G112" s="71">
        <f>SUM(H80:H86,H88:H89)+SUM(H93:H95)+SUM(H99:H101)+SUM(H106:H110)</f>
        <v>0</v>
      </c>
      <c r="H112" s="72"/>
    </row>
    <row r="113" spans="2:8" ht="15.75" thickBot="1">
      <c r="B113" s="38" t="s">
        <v>74</v>
      </c>
      <c r="C113" s="55"/>
      <c r="D113" s="73"/>
      <c r="E113" s="73"/>
      <c r="F113" s="56"/>
      <c r="G113" s="88">
        <f>SUM(H80:H86,H88:H89)*3+SUM(H93:H95)+SUM(H99:H100)*3+SUM(H106:H110)</f>
        <v>0</v>
      </c>
      <c r="H113" s="89"/>
    </row>
    <row r="114" spans="2:8" ht="15.75" thickBot="1">
      <c r="B114" s="13"/>
      <c r="C114" s="1"/>
      <c r="D114" s="1"/>
      <c r="E114" s="1"/>
      <c r="F114" s="1"/>
      <c r="G114" s="1"/>
      <c r="H114" s="1"/>
    </row>
    <row r="115" spans="2:8" ht="15">
      <c r="B115" s="57" t="s">
        <v>75</v>
      </c>
      <c r="C115" s="58"/>
      <c r="D115" s="58"/>
      <c r="E115" s="58"/>
      <c r="F115" s="58"/>
      <c r="G115" s="58"/>
      <c r="H115" s="59"/>
    </row>
    <row r="116" spans="2:8" s="37" customFormat="1" ht="13.5" thickBot="1">
      <c r="B116" s="78" t="s">
        <v>76</v>
      </c>
      <c r="C116" s="79"/>
      <c r="D116" s="79"/>
      <c r="E116" s="79"/>
      <c r="F116" s="79"/>
      <c r="G116" s="79"/>
      <c r="H116" s="80"/>
    </row>
    <row r="117" spans="2:8" s="63" customFormat="1" ht="16.5" thickBot="1">
      <c r="B117" s="60" t="s">
        <v>77</v>
      </c>
      <c r="C117" s="61"/>
      <c r="D117" s="61"/>
      <c r="E117" s="61"/>
      <c r="F117" s="62"/>
      <c r="G117" s="76">
        <f>SUM((G56*0.5)+(G64*0.1)+(G75*0.15)+(G113*0.25))</f>
        <v>0</v>
      </c>
      <c r="H117" s="77"/>
    </row>
    <row r="118" spans="2:8" s="37" customFormat="1" ht="13.5" thickBot="1">
      <c r="B118" s="78" t="s">
        <v>79</v>
      </c>
      <c r="C118" s="79"/>
      <c r="D118" s="79"/>
      <c r="E118" s="79"/>
      <c r="F118" s="79"/>
      <c r="G118" s="79"/>
      <c r="H118" s="80"/>
    </row>
    <row r="119" spans="2:8" ht="16.5" thickBot="1">
      <c r="B119" s="60" t="s">
        <v>78</v>
      </c>
      <c r="C119" s="61"/>
      <c r="D119" s="61"/>
      <c r="E119" s="61"/>
      <c r="F119" s="62"/>
      <c r="G119" s="76">
        <f>$G$117*3</f>
        <v>0</v>
      </c>
      <c r="H119" s="77"/>
    </row>
  </sheetData>
  <sheetProtection password="DC65" sheet="1"/>
  <protectedRanges>
    <protectedRange sqref="D100" name="Intervalo10"/>
    <protectedRange sqref="D93" name="Intervalo9"/>
    <protectedRange sqref="D80" name="Intervalo8"/>
    <protectedRange sqref="D69" name="Intervalo7"/>
    <protectedRange sqref="D61" name="Intervalo6"/>
    <protectedRange sqref="D49:D51 D53" name="Intervalo5"/>
    <protectedRange sqref="D42:D44" name="Intervalo4"/>
    <protectedRange sqref="D36:D38" name="Intervalo3"/>
    <protectedRange sqref="D24" name="Intervalo2"/>
    <protectedRange sqref="D10" name="Intervalo1"/>
  </protectedRanges>
  <mergeCells count="25">
    <mergeCell ref="B116:H116"/>
    <mergeCell ref="G117:H117"/>
    <mergeCell ref="B66:C66"/>
    <mergeCell ref="D75:E75"/>
    <mergeCell ref="G75:H75"/>
    <mergeCell ref="B100:C100"/>
    <mergeCell ref="D112:E112"/>
    <mergeCell ref="G112:H112"/>
    <mergeCell ref="G119:H119"/>
    <mergeCell ref="B118:H118"/>
    <mergeCell ref="D64:E64"/>
    <mergeCell ref="G64:H64"/>
    <mergeCell ref="B2:H2"/>
    <mergeCell ref="B3:H3"/>
    <mergeCell ref="B4:H4"/>
    <mergeCell ref="B5:H5"/>
    <mergeCell ref="B6:C6"/>
    <mergeCell ref="C32:D32"/>
    <mergeCell ref="B43:C43"/>
    <mergeCell ref="D55:E55"/>
    <mergeCell ref="G55:H55"/>
    <mergeCell ref="D56:E56"/>
    <mergeCell ref="G56:H56"/>
    <mergeCell ref="D113:E113"/>
    <mergeCell ref="G113:H113"/>
  </mergeCells>
  <printOptions horizontalCentered="1"/>
  <pageMargins left="0.5118110236220472" right="0.5118110236220472" top="0.7874015748031497" bottom="2.125984251968504" header="0.31496062992125984" footer="0.31496062992125984"/>
  <pageSetup cellComments="asDisplayed" fitToHeight="2" fitToWidth="1" horizontalDpi="1200" verticalDpi="12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K1" sqref="K1"/>
    </sheetView>
  </sheetViews>
  <sheetFormatPr defaultColWidth="9.140625" defaultRowHeight="15"/>
  <cols>
    <col min="1" max="1" width="6.7109375" style="65" customWidth="1"/>
    <col min="2" max="11" width="9.140625" style="65" customWidth="1"/>
    <col min="12" max="12" width="14.421875" style="65" customWidth="1"/>
    <col min="13" max="13" width="6.57421875" style="65" customWidth="1"/>
    <col min="14" max="16384" width="9.140625" style="65" customWidth="1"/>
  </cols>
  <sheetData>
    <row r="1" ht="15.75" customHeight="1">
      <c r="A1" s="64"/>
    </row>
  </sheetData>
  <sheetProtection password="DC65" sheet="1" objects="1" scenarios="1"/>
  <printOptions horizontalCentered="1" verticalCentered="1"/>
  <pageMargins left="0.5118110236220472" right="0.31496062992125984" top="0.4724409448818898" bottom="0.3937007874015748" header="0.31496062992125984" footer="0.31496062992125984"/>
  <pageSetup fitToHeight="1" fitToWidth="1"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Andre Varnier</dc:creator>
  <cp:keywords/>
  <dc:description/>
  <cp:lastModifiedBy>B26434</cp:lastModifiedBy>
  <cp:lastPrinted>2009-11-10T12:54:08Z</cp:lastPrinted>
  <dcterms:created xsi:type="dcterms:W3CDTF">2009-11-03T18:32:55Z</dcterms:created>
  <dcterms:modified xsi:type="dcterms:W3CDTF">2009-11-12T18:17:48Z</dcterms:modified>
  <cp:category/>
  <cp:version/>
  <cp:contentType/>
  <cp:contentStatus/>
</cp:coreProperties>
</file>